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sdreb\Desktop\"/>
    </mc:Choice>
  </mc:AlternateContent>
  <xr:revisionPtr revIDLastSave="0" documentId="13_ncr:1_{FF557876-C91A-41FF-B6BB-D1EF91D430E0}" xr6:coauthVersionLast="47" xr6:coauthVersionMax="47" xr10:uidLastSave="{00000000-0000-0000-0000-000000000000}"/>
  <bookViews>
    <workbookView xWindow="-108" yWindow="-108" windowWidth="23256" windowHeight="12576" xr2:uid="{0021A20E-3AB8-44A1-87FF-C02343EF483B}"/>
  </bookViews>
  <sheets>
    <sheet name="Kredit + lineare Abschreibung" sheetId="9" r:id="rId1"/>
    <sheet name="Kredit + degressive Abschreibun" sheetId="10" r:id="rId2"/>
    <sheet name="Eigenkap. + lin. Abschr." sheetId="11" r:id="rId3"/>
    <sheet name="Eigenkapital + degr. Abschr." sheetId="1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86" i="10" l="1"/>
  <c r="R87" i="10"/>
  <c r="R88" i="10"/>
  <c r="R89" i="10"/>
  <c r="R90" i="10"/>
  <c r="R91" i="10"/>
  <c r="R92" i="10"/>
  <c r="R93" i="10"/>
  <c r="R64" i="10"/>
  <c r="R65" i="10"/>
  <c r="R66" i="10"/>
  <c r="R67" i="10"/>
  <c r="R68" i="10"/>
  <c r="R69" i="10"/>
  <c r="R70" i="10"/>
  <c r="R71" i="10"/>
  <c r="R72" i="10"/>
  <c r="R73" i="10"/>
  <c r="R74" i="10"/>
  <c r="R75" i="10"/>
  <c r="R76" i="10"/>
  <c r="R77" i="10"/>
  <c r="R78" i="10"/>
  <c r="R79" i="10"/>
  <c r="R80" i="10"/>
  <c r="R81" i="10"/>
  <c r="R82" i="10"/>
  <c r="R83" i="10"/>
  <c r="R84" i="10"/>
  <c r="R85" i="10"/>
  <c r="R49" i="10"/>
  <c r="R50" i="10"/>
  <c r="R51" i="10"/>
  <c r="S51" i="10" s="1"/>
  <c r="R52" i="10"/>
  <c r="S52" i="10" s="1"/>
  <c r="R53" i="10"/>
  <c r="S53" i="10" s="1"/>
  <c r="R54" i="10"/>
  <c r="S54" i="10" s="1"/>
  <c r="R55" i="10"/>
  <c r="R56" i="10"/>
  <c r="R57" i="10"/>
  <c r="S57" i="10" s="1"/>
  <c r="R58" i="10"/>
  <c r="S58" i="10" s="1"/>
  <c r="R59" i="10"/>
  <c r="S59" i="10" s="1"/>
  <c r="R60" i="10"/>
  <c r="S60" i="10" s="1"/>
  <c r="R61" i="10"/>
  <c r="R62" i="10"/>
  <c r="R63" i="10"/>
  <c r="S63" i="10" s="1"/>
  <c r="R48" i="10"/>
  <c r="R47" i="10"/>
  <c r="R46" i="10"/>
  <c r="R45" i="10"/>
  <c r="Q83" i="12"/>
  <c r="Q84" i="12"/>
  <c r="Q85" i="12"/>
  <c r="Q86" i="12"/>
  <c r="Q87" i="12"/>
  <c r="Q88" i="12"/>
  <c r="Q89" i="12"/>
  <c r="Q90" i="12"/>
  <c r="Q91" i="12"/>
  <c r="Q92" i="12"/>
  <c r="Q93" i="12"/>
  <c r="Q63" i="12"/>
  <c r="Q64" i="12"/>
  <c r="Q65" i="12"/>
  <c r="Q66" i="12"/>
  <c r="Q67" i="12"/>
  <c r="Q68" i="12"/>
  <c r="Q69" i="12"/>
  <c r="Q70" i="12"/>
  <c r="Q71" i="12"/>
  <c r="Q72" i="12"/>
  <c r="Q73" i="12"/>
  <c r="Q74" i="12"/>
  <c r="Q75" i="12"/>
  <c r="Q76" i="12"/>
  <c r="Q77" i="12"/>
  <c r="Q78" i="12"/>
  <c r="Q79" i="12"/>
  <c r="Q80" i="12"/>
  <c r="Q81" i="12"/>
  <c r="Q82" i="12"/>
  <c r="Q46" i="12"/>
  <c r="Q47" i="12"/>
  <c r="Q48" i="12"/>
  <c r="Q49" i="12"/>
  <c r="Q50" i="12"/>
  <c r="Q51" i="12"/>
  <c r="Q52" i="12" s="1"/>
  <c r="Q53" i="12" s="1"/>
  <c r="Q54" i="12" s="1"/>
  <c r="Q55" i="12" s="1"/>
  <c r="Q56" i="12" s="1"/>
  <c r="Q57" i="12" s="1"/>
  <c r="Q58" i="12" s="1"/>
  <c r="Q59" i="12" s="1"/>
  <c r="Q60" i="12" s="1"/>
  <c r="Q61" i="12" s="1"/>
  <c r="Q62" i="12" s="1"/>
  <c r="Q45" i="12"/>
  <c r="Q44" i="12"/>
  <c r="P92" i="12"/>
  <c r="P93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47" i="12"/>
  <c r="P48" i="12"/>
  <c r="P49" i="12" s="1"/>
  <c r="P50" i="12" s="1"/>
  <c r="P51" i="12" s="1"/>
  <c r="P52" i="12" s="1"/>
  <c r="P53" i="12" s="1"/>
  <c r="P54" i="12" s="1"/>
  <c r="P55" i="12" s="1"/>
  <c r="P56" i="12" s="1"/>
  <c r="P57" i="12" s="1"/>
  <c r="P58" i="12" s="1"/>
  <c r="P59" i="12" s="1"/>
  <c r="P60" i="12" s="1"/>
  <c r="P61" i="12" s="1"/>
  <c r="P62" i="12" s="1"/>
  <c r="P46" i="12"/>
  <c r="P45" i="12"/>
  <c r="P44" i="12"/>
  <c r="O86" i="12"/>
  <c r="O87" i="12"/>
  <c r="O88" i="12"/>
  <c r="O89" i="12"/>
  <c r="O90" i="12"/>
  <c r="O91" i="12"/>
  <c r="O92" i="12"/>
  <c r="O93" i="12"/>
  <c r="O63" i="12"/>
  <c r="O64" i="12"/>
  <c r="O65" i="12"/>
  <c r="O66" i="12"/>
  <c r="O67" i="12"/>
  <c r="O68" i="12"/>
  <c r="O69" i="12"/>
  <c r="O70" i="12"/>
  <c r="O71" i="12"/>
  <c r="O72" i="12"/>
  <c r="O73" i="12"/>
  <c r="O74" i="12"/>
  <c r="O75" i="12"/>
  <c r="O76" i="12"/>
  <c r="O77" i="12"/>
  <c r="O78" i="12"/>
  <c r="O79" i="12"/>
  <c r="O80" i="12"/>
  <c r="O81" i="12"/>
  <c r="O82" i="12"/>
  <c r="O83" i="12"/>
  <c r="O84" i="12"/>
  <c r="O85" i="12"/>
  <c r="O47" i="12"/>
  <c r="O48" i="12"/>
  <c r="O49" i="12"/>
  <c r="O50" i="12"/>
  <c r="O51" i="12"/>
  <c r="O52" i="12"/>
  <c r="O53" i="12"/>
  <c r="O54" i="12"/>
  <c r="O55" i="12"/>
  <c r="O56" i="12"/>
  <c r="O57" i="12"/>
  <c r="O58" i="12"/>
  <c r="O59" i="12"/>
  <c r="O60" i="12"/>
  <c r="O61" i="12"/>
  <c r="O62" i="12"/>
  <c r="O46" i="12"/>
  <c r="O45" i="12"/>
  <c r="O44" i="12"/>
  <c r="N63" i="12"/>
  <c r="N64" i="12"/>
  <c r="N65" i="12"/>
  <c r="N66" i="12"/>
  <c r="N67" i="12"/>
  <c r="N68" i="12"/>
  <c r="N69" i="12"/>
  <c r="N70" i="12"/>
  <c r="N71" i="12"/>
  <c r="N72" i="12"/>
  <c r="N73" i="12"/>
  <c r="N74" i="12"/>
  <c r="N75" i="12"/>
  <c r="N76" i="12"/>
  <c r="N77" i="12"/>
  <c r="N78" i="12"/>
  <c r="N79" i="12"/>
  <c r="N80" i="12"/>
  <c r="N81" i="12"/>
  <c r="N82" i="12"/>
  <c r="N83" i="12"/>
  <c r="N84" i="12"/>
  <c r="N85" i="12"/>
  <c r="N86" i="12"/>
  <c r="N87" i="12"/>
  <c r="N88" i="12"/>
  <c r="N89" i="12"/>
  <c r="N90" i="12"/>
  <c r="N91" i="12"/>
  <c r="N92" i="12"/>
  <c r="N93" i="12"/>
  <c r="N47" i="12"/>
  <c r="N48" i="12"/>
  <c r="N49" i="12"/>
  <c r="N50" i="12"/>
  <c r="N51" i="12"/>
  <c r="N52" i="12"/>
  <c r="N53" i="12"/>
  <c r="N54" i="12"/>
  <c r="N55" i="12"/>
  <c r="N56" i="12"/>
  <c r="N57" i="12"/>
  <c r="N58" i="12"/>
  <c r="N59" i="12"/>
  <c r="N60" i="12"/>
  <c r="N61" i="12"/>
  <c r="N62" i="12"/>
  <c r="N46" i="12"/>
  <c r="N45" i="12"/>
  <c r="N44" i="12"/>
  <c r="M86" i="12"/>
  <c r="M87" i="12"/>
  <c r="M88" i="12"/>
  <c r="M89" i="12"/>
  <c r="M90" i="12"/>
  <c r="M91" i="12"/>
  <c r="M92" i="12"/>
  <c r="M93" i="12"/>
  <c r="M63" i="12"/>
  <c r="M64" i="12"/>
  <c r="M65" i="12"/>
  <c r="M66" i="12"/>
  <c r="M67" i="12"/>
  <c r="M68" i="12"/>
  <c r="M69" i="12"/>
  <c r="M70" i="12"/>
  <c r="M71" i="12"/>
  <c r="M72" i="12"/>
  <c r="M73" i="12"/>
  <c r="M74" i="12"/>
  <c r="M75" i="12"/>
  <c r="M76" i="12"/>
  <c r="M77" i="12"/>
  <c r="M78" i="12"/>
  <c r="M79" i="12"/>
  <c r="M80" i="12"/>
  <c r="M81" i="12"/>
  <c r="M82" i="12"/>
  <c r="M83" i="12"/>
  <c r="M84" i="12"/>
  <c r="M85" i="12"/>
  <c r="M46" i="12"/>
  <c r="M47" i="12" s="1"/>
  <c r="M48" i="12" s="1"/>
  <c r="M49" i="12" s="1"/>
  <c r="M50" i="12" s="1"/>
  <c r="M51" i="12" s="1"/>
  <c r="M52" i="12" s="1"/>
  <c r="M53" i="12" s="1"/>
  <c r="M54" i="12" s="1"/>
  <c r="M55" i="12" s="1"/>
  <c r="M56" i="12" s="1"/>
  <c r="M57" i="12" s="1"/>
  <c r="M58" i="12" s="1"/>
  <c r="M59" i="12" s="1"/>
  <c r="M60" i="12" s="1"/>
  <c r="M61" i="12" s="1"/>
  <c r="M62" i="12" s="1"/>
  <c r="M45" i="12"/>
  <c r="M44" i="12"/>
  <c r="L91" i="12"/>
  <c r="L92" i="12"/>
  <c r="L93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45" i="12"/>
  <c r="L44" i="12"/>
  <c r="K91" i="12"/>
  <c r="K92" i="12"/>
  <c r="K93" i="12"/>
  <c r="K63" i="12"/>
  <c r="K64" i="12"/>
  <c r="K65" i="12"/>
  <c r="K66" i="12"/>
  <c r="K67" i="12"/>
  <c r="K68" i="12"/>
  <c r="K69" i="12"/>
  <c r="K70" i="12"/>
  <c r="K71" i="12"/>
  <c r="K72" i="12"/>
  <c r="K73" i="12"/>
  <c r="K74" i="12"/>
  <c r="K75" i="12"/>
  <c r="K76" i="12"/>
  <c r="K77" i="12"/>
  <c r="K78" i="12"/>
  <c r="K79" i="12"/>
  <c r="K80" i="12"/>
  <c r="K81" i="12"/>
  <c r="K82" i="12"/>
  <c r="K83" i="12"/>
  <c r="K84" i="12"/>
  <c r="K85" i="12"/>
  <c r="K86" i="12"/>
  <c r="K87" i="12"/>
  <c r="K88" i="12"/>
  <c r="K89" i="12"/>
  <c r="K90" i="12"/>
  <c r="K46" i="12"/>
  <c r="K47" i="12"/>
  <c r="K48" i="12"/>
  <c r="K49" i="12"/>
  <c r="K50" i="12"/>
  <c r="K51" i="12"/>
  <c r="K52" i="12"/>
  <c r="K53" i="12"/>
  <c r="K54" i="12"/>
  <c r="K55" i="12"/>
  <c r="K56" i="12"/>
  <c r="K57" i="12"/>
  <c r="K58" i="12"/>
  <c r="K59" i="12"/>
  <c r="K60" i="12"/>
  <c r="K61" i="12"/>
  <c r="K62" i="12"/>
  <c r="K45" i="12"/>
  <c r="K44" i="12"/>
  <c r="J87" i="12"/>
  <c r="J88" i="12"/>
  <c r="J89" i="12"/>
  <c r="J90" i="12"/>
  <c r="J91" i="12"/>
  <c r="J92" i="12"/>
  <c r="J93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45" i="12"/>
  <c r="J44" i="12"/>
  <c r="I89" i="12"/>
  <c r="I90" i="12"/>
  <c r="I91" i="12"/>
  <c r="I92" i="12"/>
  <c r="I93" i="12"/>
  <c r="I63" i="12"/>
  <c r="I64" i="12"/>
  <c r="I65" i="12"/>
  <c r="I66" i="12"/>
  <c r="I67" i="12"/>
  <c r="I68" i="12"/>
  <c r="I69" i="12"/>
  <c r="I70" i="12"/>
  <c r="I71" i="12"/>
  <c r="I72" i="12"/>
  <c r="I73" i="12"/>
  <c r="I74" i="12"/>
  <c r="I75" i="12"/>
  <c r="I76" i="12"/>
  <c r="I77" i="12"/>
  <c r="I78" i="12"/>
  <c r="I79" i="12"/>
  <c r="I80" i="12"/>
  <c r="I81" i="12"/>
  <c r="I82" i="12"/>
  <c r="I83" i="12"/>
  <c r="I84" i="12"/>
  <c r="I85" i="12"/>
  <c r="I86" i="12"/>
  <c r="I87" i="12"/>
  <c r="I88" i="12"/>
  <c r="I46" i="12"/>
  <c r="I47" i="12" s="1"/>
  <c r="I48" i="12" s="1"/>
  <c r="I49" i="12" s="1"/>
  <c r="I50" i="12" s="1"/>
  <c r="I51" i="12" s="1"/>
  <c r="I52" i="12" s="1"/>
  <c r="I53" i="12" s="1"/>
  <c r="I54" i="12" s="1"/>
  <c r="I55" i="12" s="1"/>
  <c r="I56" i="12" s="1"/>
  <c r="I57" i="12" s="1"/>
  <c r="I58" i="12" s="1"/>
  <c r="I59" i="12" s="1"/>
  <c r="I60" i="12" s="1"/>
  <c r="I61" i="12" s="1"/>
  <c r="I62" i="12" s="1"/>
  <c r="I45" i="12"/>
  <c r="I44" i="12"/>
  <c r="H90" i="12"/>
  <c r="H91" i="12"/>
  <c r="H92" i="12"/>
  <c r="H93" i="12"/>
  <c r="H63" i="12"/>
  <c r="H64" i="12"/>
  <c r="H65" i="12"/>
  <c r="H66" i="12"/>
  <c r="H67" i="12"/>
  <c r="H68" i="12"/>
  <c r="H69" i="12"/>
  <c r="H70" i="12"/>
  <c r="H71" i="12"/>
  <c r="H72" i="12"/>
  <c r="H73" i="12"/>
  <c r="H74" i="12"/>
  <c r="H75" i="12"/>
  <c r="H76" i="12"/>
  <c r="H77" i="12"/>
  <c r="H78" i="12"/>
  <c r="H79" i="12"/>
  <c r="H80" i="12"/>
  <c r="H81" i="12"/>
  <c r="H82" i="12"/>
  <c r="H83" i="12"/>
  <c r="H84" i="12"/>
  <c r="H85" i="12"/>
  <c r="H86" i="12"/>
  <c r="H87" i="12"/>
  <c r="H88" i="12"/>
  <c r="H89" i="12"/>
  <c r="H47" i="12"/>
  <c r="H48" i="12"/>
  <c r="H49" i="12"/>
  <c r="H50" i="12"/>
  <c r="H51" i="12"/>
  <c r="H52" i="12"/>
  <c r="H53" i="12" s="1"/>
  <c r="H54" i="12" s="1"/>
  <c r="H55" i="12" s="1"/>
  <c r="H56" i="12" s="1"/>
  <c r="H57" i="12" s="1"/>
  <c r="H58" i="12" s="1"/>
  <c r="H59" i="12" s="1"/>
  <c r="H60" i="12" s="1"/>
  <c r="H61" i="12" s="1"/>
  <c r="H62" i="12" s="1"/>
  <c r="H46" i="12"/>
  <c r="H45" i="12"/>
  <c r="H44" i="12"/>
  <c r="H43" i="12"/>
  <c r="F92" i="12"/>
  <c r="F93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46" i="12"/>
  <c r="F44" i="12"/>
  <c r="E89" i="12"/>
  <c r="E90" i="12"/>
  <c r="E91" i="12"/>
  <c r="E92" i="12"/>
  <c r="E93" i="12"/>
  <c r="E63" i="12"/>
  <c r="E64" i="12"/>
  <c r="E65" i="12"/>
  <c r="E66" i="12"/>
  <c r="E67" i="12"/>
  <c r="E68" i="12"/>
  <c r="E69" i="12"/>
  <c r="E70" i="12"/>
  <c r="E71" i="12"/>
  <c r="E72" i="12"/>
  <c r="E73" i="12"/>
  <c r="E74" i="12"/>
  <c r="E75" i="12"/>
  <c r="E76" i="12"/>
  <c r="E77" i="12"/>
  <c r="E78" i="12"/>
  <c r="E79" i="12"/>
  <c r="E80" i="12"/>
  <c r="E81" i="12"/>
  <c r="E82" i="12"/>
  <c r="E83" i="12"/>
  <c r="E84" i="12"/>
  <c r="E85" i="12"/>
  <c r="E86" i="12"/>
  <c r="E87" i="12"/>
  <c r="E88" i="12"/>
  <c r="E44" i="12"/>
  <c r="D86" i="12"/>
  <c r="D87" i="12"/>
  <c r="D88" i="12"/>
  <c r="D89" i="12"/>
  <c r="D90" i="12"/>
  <c r="D91" i="12"/>
  <c r="D92" i="12"/>
  <c r="D93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45" i="12"/>
  <c r="E45" i="12" s="1"/>
  <c r="D44" i="12"/>
  <c r="A88" i="12"/>
  <c r="A89" i="12"/>
  <c r="A90" i="12"/>
  <c r="A91" i="12"/>
  <c r="A92" i="12"/>
  <c r="A93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85" i="12"/>
  <c r="A86" i="12"/>
  <c r="A87" i="12"/>
  <c r="A46" i="12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45" i="12"/>
  <c r="A44" i="12"/>
  <c r="B87" i="12"/>
  <c r="B88" i="12" s="1"/>
  <c r="B89" i="12" s="1"/>
  <c r="B90" i="12" s="1"/>
  <c r="B91" i="12" s="1"/>
  <c r="B92" i="12" s="1"/>
  <c r="B93" i="12" s="1"/>
  <c r="B63" i="12"/>
  <c r="B64" i="12" s="1"/>
  <c r="B65" i="12" s="1"/>
  <c r="B66" i="12" s="1"/>
  <c r="B67" i="12" s="1"/>
  <c r="B68" i="12" s="1"/>
  <c r="B69" i="12" s="1"/>
  <c r="B70" i="12" s="1"/>
  <c r="B71" i="12" s="1"/>
  <c r="B72" i="12" s="1"/>
  <c r="B73" i="12" s="1"/>
  <c r="B74" i="12" s="1"/>
  <c r="B75" i="12" s="1"/>
  <c r="B76" i="12" s="1"/>
  <c r="B77" i="12" s="1"/>
  <c r="B78" i="12" s="1"/>
  <c r="B79" i="12" s="1"/>
  <c r="B80" i="12" s="1"/>
  <c r="B81" i="12" s="1"/>
  <c r="B82" i="12" s="1"/>
  <c r="B83" i="12" s="1"/>
  <c r="B84" i="12" s="1"/>
  <c r="B85" i="12" s="1"/>
  <c r="B86" i="12" s="1"/>
  <c r="B55" i="12"/>
  <c r="B56" i="12"/>
  <c r="B57" i="12"/>
  <c r="B58" i="12"/>
  <c r="B59" i="12"/>
  <c r="B60" i="12"/>
  <c r="B61" i="12" s="1"/>
  <c r="B62" i="12" s="1"/>
  <c r="B47" i="12"/>
  <c r="B48" i="12"/>
  <c r="B49" i="12"/>
  <c r="B50" i="12"/>
  <c r="B51" i="12"/>
  <c r="B52" i="12"/>
  <c r="B53" i="12" s="1"/>
  <c r="B54" i="12" s="1"/>
  <c r="B46" i="12"/>
  <c r="B45" i="12"/>
  <c r="B44" i="12"/>
  <c r="B43" i="12"/>
  <c r="U90" i="10"/>
  <c r="U91" i="10"/>
  <c r="U92" i="10"/>
  <c r="U9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80" i="10"/>
  <c r="U81" i="10"/>
  <c r="U82" i="10"/>
  <c r="U83" i="10"/>
  <c r="U84" i="10"/>
  <c r="U85" i="10"/>
  <c r="U86" i="10"/>
  <c r="U87" i="10"/>
  <c r="U88" i="10"/>
  <c r="U89" i="10"/>
  <c r="T86" i="10"/>
  <c r="T87" i="10"/>
  <c r="T88" i="10"/>
  <c r="T89" i="10"/>
  <c r="T90" i="10"/>
  <c r="T91" i="10"/>
  <c r="T92" i="10"/>
  <c r="T93" i="10"/>
  <c r="T64" i="10"/>
  <c r="T65" i="10"/>
  <c r="T66" i="10"/>
  <c r="T67" i="10"/>
  <c r="T68" i="10"/>
  <c r="T69" i="10"/>
  <c r="T70" i="10"/>
  <c r="T71" i="10"/>
  <c r="T72" i="10"/>
  <c r="T73" i="10"/>
  <c r="T74" i="10"/>
  <c r="T75" i="10"/>
  <c r="T76" i="10"/>
  <c r="T77" i="10"/>
  <c r="T78" i="10"/>
  <c r="T79" i="10"/>
  <c r="T80" i="10"/>
  <c r="T81" i="10"/>
  <c r="T82" i="10"/>
  <c r="T83" i="10"/>
  <c r="T84" i="10"/>
  <c r="T85" i="10"/>
  <c r="S87" i="10"/>
  <c r="S88" i="10"/>
  <c r="S89" i="10"/>
  <c r="S90" i="10"/>
  <c r="S91" i="10"/>
  <c r="S92" i="10"/>
  <c r="S9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S79" i="10"/>
  <c r="S80" i="10"/>
  <c r="S81" i="10"/>
  <c r="S82" i="10"/>
  <c r="S83" i="10"/>
  <c r="S84" i="10"/>
  <c r="S85" i="10"/>
  <c r="S86" i="10"/>
  <c r="S48" i="10"/>
  <c r="S49" i="10"/>
  <c r="S50" i="10"/>
  <c r="S55" i="10"/>
  <c r="S56" i="10"/>
  <c r="S61" i="10"/>
  <c r="S62" i="10"/>
  <c r="S47" i="10"/>
  <c r="S46" i="10"/>
  <c r="S45" i="10"/>
  <c r="U45" i="10" s="1"/>
  <c r="U46" i="10" s="1"/>
  <c r="U47" i="10" s="1"/>
  <c r="U48" i="10" s="1"/>
  <c r="Q92" i="10"/>
  <c r="Q93" i="10"/>
  <c r="Q64" i="10"/>
  <c r="Q65" i="10"/>
  <c r="Q66" i="10"/>
  <c r="Q67" i="10"/>
  <c r="Q68" i="10"/>
  <c r="Q69" i="10"/>
  <c r="Q70" i="10"/>
  <c r="Q71" i="10"/>
  <c r="Q72" i="10"/>
  <c r="Q73" i="10"/>
  <c r="Q74" i="10"/>
  <c r="Q75" i="10"/>
  <c r="Q76" i="10"/>
  <c r="Q77" i="10"/>
  <c r="Q78" i="10"/>
  <c r="Q79" i="10"/>
  <c r="Q80" i="10"/>
  <c r="Q81" i="10"/>
  <c r="Q82" i="10"/>
  <c r="Q83" i="10"/>
  <c r="Q84" i="10"/>
  <c r="Q85" i="10"/>
  <c r="Q86" i="10"/>
  <c r="Q87" i="10"/>
  <c r="Q88" i="10"/>
  <c r="Q89" i="10"/>
  <c r="Q90" i="10"/>
  <c r="Q91" i="10"/>
  <c r="Q48" i="10"/>
  <c r="Q49" i="10" s="1"/>
  <c r="Q50" i="10" s="1"/>
  <c r="Q51" i="10" s="1"/>
  <c r="Q52" i="10" s="1"/>
  <c r="Q53" i="10" s="1"/>
  <c r="Q54" i="10" s="1"/>
  <c r="Q55" i="10" s="1"/>
  <c r="Q56" i="10" s="1"/>
  <c r="Q57" i="10" s="1"/>
  <c r="Q58" i="10" s="1"/>
  <c r="Q59" i="10" s="1"/>
  <c r="Q60" i="10" s="1"/>
  <c r="Q61" i="10" s="1"/>
  <c r="Q62" i="10" s="1"/>
  <c r="Q63" i="10" s="1"/>
  <c r="Q47" i="10"/>
  <c r="Q46" i="10"/>
  <c r="Q45" i="10"/>
  <c r="P88" i="10"/>
  <c r="P89" i="10"/>
  <c r="P90" i="10"/>
  <c r="P91" i="10"/>
  <c r="P92" i="10"/>
  <c r="P93" i="10"/>
  <c r="P64" i="10"/>
  <c r="P65" i="10"/>
  <c r="P66" i="10"/>
  <c r="P67" i="10"/>
  <c r="P68" i="10"/>
  <c r="P69" i="10"/>
  <c r="P70" i="10"/>
  <c r="P71" i="10"/>
  <c r="P72" i="10"/>
  <c r="P73" i="10"/>
  <c r="P74" i="10"/>
  <c r="P75" i="10"/>
  <c r="P76" i="10"/>
  <c r="P77" i="10"/>
  <c r="P78" i="10"/>
  <c r="P79" i="10"/>
  <c r="P80" i="10"/>
  <c r="P81" i="10"/>
  <c r="P82" i="10"/>
  <c r="P83" i="10"/>
  <c r="P84" i="10"/>
  <c r="P85" i="10"/>
  <c r="P86" i="10"/>
  <c r="P87" i="10"/>
  <c r="P48" i="10"/>
  <c r="P49" i="10"/>
  <c r="P50" i="10"/>
  <c r="P51" i="10"/>
  <c r="P52" i="10"/>
  <c r="P53" i="10"/>
  <c r="P54" i="10"/>
  <c r="P55" i="10"/>
  <c r="P56" i="10"/>
  <c r="P57" i="10"/>
  <c r="P58" i="10"/>
  <c r="P59" i="10"/>
  <c r="P60" i="10"/>
  <c r="P61" i="10"/>
  <c r="P62" i="10"/>
  <c r="P63" i="10"/>
  <c r="P47" i="10"/>
  <c r="P46" i="10"/>
  <c r="P45" i="10"/>
  <c r="O88" i="10"/>
  <c r="O89" i="10"/>
  <c r="O90" i="10"/>
  <c r="O91" i="10"/>
  <c r="O92" i="10"/>
  <c r="O93" i="10"/>
  <c r="O64" i="10"/>
  <c r="O65" i="10"/>
  <c r="O66" i="10"/>
  <c r="O67" i="10"/>
  <c r="O68" i="10"/>
  <c r="O69" i="10"/>
  <c r="O70" i="10"/>
  <c r="O71" i="10"/>
  <c r="O72" i="10"/>
  <c r="O73" i="10"/>
  <c r="O74" i="10"/>
  <c r="O75" i="10"/>
  <c r="O76" i="10"/>
  <c r="O77" i="10"/>
  <c r="O78" i="10"/>
  <c r="O79" i="10"/>
  <c r="O80" i="10"/>
  <c r="O81" i="10"/>
  <c r="O82" i="10"/>
  <c r="O83" i="10"/>
  <c r="O84" i="10"/>
  <c r="O85" i="10"/>
  <c r="O86" i="10"/>
  <c r="O87" i="10"/>
  <c r="O48" i="10"/>
  <c r="O49" i="10"/>
  <c r="O50" i="10"/>
  <c r="O51" i="10"/>
  <c r="O52" i="10"/>
  <c r="O53" i="10"/>
  <c r="O54" i="10"/>
  <c r="O55" i="10"/>
  <c r="O56" i="10"/>
  <c r="O57" i="10"/>
  <c r="O58" i="10"/>
  <c r="O59" i="10"/>
  <c r="O60" i="10"/>
  <c r="O61" i="10"/>
  <c r="O62" i="10"/>
  <c r="O63" i="10"/>
  <c r="O47" i="10"/>
  <c r="O46" i="10"/>
  <c r="O45" i="10"/>
  <c r="N87" i="10"/>
  <c r="N88" i="10"/>
  <c r="N89" i="10"/>
  <c r="N90" i="10"/>
  <c r="N91" i="10"/>
  <c r="N92" i="10"/>
  <c r="N93" i="10"/>
  <c r="N64" i="10"/>
  <c r="N65" i="10"/>
  <c r="N66" i="10"/>
  <c r="N67" i="10"/>
  <c r="N68" i="10"/>
  <c r="N69" i="10"/>
  <c r="N70" i="10"/>
  <c r="N71" i="10"/>
  <c r="N72" i="10"/>
  <c r="N73" i="10"/>
  <c r="N74" i="10"/>
  <c r="N75" i="10"/>
  <c r="N76" i="10"/>
  <c r="N77" i="10"/>
  <c r="N78" i="10"/>
  <c r="N79" i="10"/>
  <c r="N80" i="10"/>
  <c r="N81" i="10"/>
  <c r="N82" i="10"/>
  <c r="N83" i="10"/>
  <c r="N84" i="10"/>
  <c r="N85" i="10"/>
  <c r="N86" i="10"/>
  <c r="N48" i="10"/>
  <c r="N49" i="10"/>
  <c r="N50" i="10"/>
  <c r="N51" i="10"/>
  <c r="N52" i="10"/>
  <c r="N53" i="10"/>
  <c r="N54" i="10"/>
  <c r="N55" i="10"/>
  <c r="N56" i="10"/>
  <c r="N57" i="10"/>
  <c r="N58" i="10"/>
  <c r="N59" i="10"/>
  <c r="N60" i="10"/>
  <c r="N61" i="10"/>
  <c r="N62" i="10"/>
  <c r="N63" i="10"/>
  <c r="N47" i="10"/>
  <c r="N45" i="10"/>
  <c r="N44" i="10"/>
  <c r="M45" i="9"/>
  <c r="M44" i="9"/>
  <c r="N46" i="10"/>
  <c r="M83" i="10"/>
  <c r="M84" i="10"/>
  <c r="M85" i="10"/>
  <c r="M86" i="10"/>
  <c r="M87" i="10"/>
  <c r="M88" i="10"/>
  <c r="M89" i="10"/>
  <c r="M90" i="10"/>
  <c r="M91" i="10"/>
  <c r="M92" i="10"/>
  <c r="M93" i="10"/>
  <c r="M64" i="10"/>
  <c r="M65" i="10"/>
  <c r="M66" i="10"/>
  <c r="M67" i="10"/>
  <c r="M68" i="10"/>
  <c r="M69" i="10"/>
  <c r="M70" i="10"/>
  <c r="M71" i="10"/>
  <c r="M72" i="10"/>
  <c r="M73" i="10"/>
  <c r="M74" i="10"/>
  <c r="M75" i="10"/>
  <c r="M76" i="10"/>
  <c r="M77" i="10"/>
  <c r="M78" i="10"/>
  <c r="M79" i="10"/>
  <c r="M80" i="10"/>
  <c r="M81" i="10"/>
  <c r="M82" i="10"/>
  <c r="M47" i="10"/>
  <c r="M48" i="10"/>
  <c r="M49" i="10"/>
  <c r="M50" i="10"/>
  <c r="M51" i="10"/>
  <c r="M52" i="10"/>
  <c r="M53" i="10" s="1"/>
  <c r="M54" i="10" s="1"/>
  <c r="M55" i="10" s="1"/>
  <c r="M56" i="10" s="1"/>
  <c r="M57" i="10" s="1"/>
  <c r="M58" i="10" s="1"/>
  <c r="M59" i="10" s="1"/>
  <c r="M60" i="10" s="1"/>
  <c r="M61" i="10" s="1"/>
  <c r="M62" i="10" s="1"/>
  <c r="M63" i="10" s="1"/>
  <c r="M46" i="10"/>
  <c r="M45" i="10"/>
  <c r="L86" i="10"/>
  <c r="L87" i="10"/>
  <c r="L88" i="10"/>
  <c r="L89" i="10"/>
  <c r="L90" i="10"/>
  <c r="L91" i="10"/>
  <c r="L92" i="10"/>
  <c r="L9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8" i="10"/>
  <c r="L79" i="10"/>
  <c r="L80" i="10"/>
  <c r="L81" i="10"/>
  <c r="L82" i="10"/>
  <c r="L83" i="10"/>
  <c r="L84" i="10"/>
  <c r="L85" i="10"/>
  <c r="L47" i="10"/>
  <c r="L48" i="10" s="1"/>
  <c r="L49" i="10" s="1"/>
  <c r="L50" i="10" s="1"/>
  <c r="L51" i="10" s="1"/>
  <c r="L52" i="10" s="1"/>
  <c r="L53" i="10" s="1"/>
  <c r="L54" i="10" s="1"/>
  <c r="L55" i="10" s="1"/>
  <c r="L56" i="10" s="1"/>
  <c r="L57" i="10" s="1"/>
  <c r="L58" i="10" s="1"/>
  <c r="L59" i="10" s="1"/>
  <c r="L60" i="10" s="1"/>
  <c r="L61" i="10" s="1"/>
  <c r="L62" i="10" s="1"/>
  <c r="L63" i="10" s="1"/>
  <c r="L46" i="10"/>
  <c r="L44" i="10"/>
  <c r="L45" i="10"/>
  <c r="K45" i="9"/>
  <c r="K44" i="9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79" i="10"/>
  <c r="J80" i="10"/>
  <c r="J81" i="10"/>
  <c r="J82" i="10"/>
  <c r="J83" i="10"/>
  <c r="J84" i="10"/>
  <c r="J85" i="10"/>
  <c r="J86" i="10"/>
  <c r="J87" i="10"/>
  <c r="J88" i="10"/>
  <c r="J89" i="10"/>
  <c r="J90" i="10"/>
  <c r="J91" i="10"/>
  <c r="J92" i="10"/>
  <c r="J93" i="10"/>
  <c r="J47" i="10"/>
  <c r="J46" i="10"/>
  <c r="J45" i="10"/>
  <c r="I64" i="10"/>
  <c r="I65" i="10"/>
  <c r="I66" i="10"/>
  <c r="I67" i="10"/>
  <c r="I68" i="10"/>
  <c r="I69" i="10"/>
  <c r="I70" i="10"/>
  <c r="I71" i="10"/>
  <c r="I72" i="10"/>
  <c r="I73" i="10"/>
  <c r="I74" i="10"/>
  <c r="I75" i="10"/>
  <c r="I76" i="10"/>
  <c r="I77" i="10"/>
  <c r="I78" i="10"/>
  <c r="I79" i="10"/>
  <c r="I80" i="10"/>
  <c r="I81" i="10"/>
  <c r="I82" i="10"/>
  <c r="I83" i="10"/>
  <c r="I84" i="10"/>
  <c r="I85" i="10"/>
  <c r="I86" i="10"/>
  <c r="I87" i="10"/>
  <c r="I88" i="10"/>
  <c r="I89" i="10"/>
  <c r="I90" i="10"/>
  <c r="I91" i="10"/>
  <c r="I92" i="10"/>
  <c r="I93" i="10"/>
  <c r="I45" i="10"/>
  <c r="H64" i="10"/>
  <c r="H65" i="10"/>
  <c r="H66" i="10"/>
  <c r="H67" i="10"/>
  <c r="H68" i="10"/>
  <c r="H69" i="10"/>
  <c r="H70" i="10"/>
  <c r="H71" i="10"/>
  <c r="H72" i="10"/>
  <c r="H73" i="10"/>
  <c r="H74" i="10"/>
  <c r="H75" i="10"/>
  <c r="H76" i="10"/>
  <c r="H77" i="10"/>
  <c r="H78" i="10"/>
  <c r="H79" i="10"/>
  <c r="H80" i="10"/>
  <c r="H81" i="10"/>
  <c r="H82" i="10"/>
  <c r="H83" i="10"/>
  <c r="H84" i="10"/>
  <c r="H85" i="10"/>
  <c r="H86" i="10"/>
  <c r="H87" i="10"/>
  <c r="H88" i="10"/>
  <c r="H89" i="10"/>
  <c r="H90" i="10"/>
  <c r="H91" i="10"/>
  <c r="H92" i="10"/>
  <c r="H93" i="10"/>
  <c r="H46" i="10"/>
  <c r="I46" i="10" s="1"/>
  <c r="H45" i="10"/>
  <c r="H45" i="9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G79" i="10"/>
  <c r="G80" i="10"/>
  <c r="G81" i="10"/>
  <c r="G82" i="10"/>
  <c r="G83" i="10"/>
  <c r="G84" i="10"/>
  <c r="G85" i="10"/>
  <c r="G86" i="10"/>
  <c r="G87" i="10"/>
  <c r="G88" i="10"/>
  <c r="G89" i="10"/>
  <c r="G90" i="10"/>
  <c r="G91" i="10"/>
  <c r="G92" i="10"/>
  <c r="G93" i="10"/>
  <c r="G47" i="10"/>
  <c r="G46" i="10"/>
  <c r="G45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84" i="10"/>
  <c r="F85" i="10"/>
  <c r="F86" i="10"/>
  <c r="F87" i="10"/>
  <c r="F88" i="10"/>
  <c r="F89" i="10"/>
  <c r="F90" i="10"/>
  <c r="F91" i="10"/>
  <c r="F92" i="10"/>
  <c r="F93" i="10"/>
  <c r="F46" i="10"/>
  <c r="F45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64" i="10"/>
  <c r="E45" i="10"/>
  <c r="B64" i="10"/>
  <c r="B65" i="10"/>
  <c r="B66" i="10"/>
  <c r="B67" i="10"/>
  <c r="B68" i="10"/>
  <c r="B69" i="10"/>
  <c r="B70" i="10"/>
  <c r="B71" i="10"/>
  <c r="B72" i="10"/>
  <c r="B73" i="10"/>
  <c r="B74" i="10"/>
  <c r="B75" i="10"/>
  <c r="B76" i="10"/>
  <c r="B77" i="10"/>
  <c r="B78" i="10"/>
  <c r="B79" i="10"/>
  <c r="B80" i="10"/>
  <c r="B81" i="10"/>
  <c r="B82" i="10"/>
  <c r="B83" i="10"/>
  <c r="B84" i="10"/>
  <c r="B85" i="10"/>
  <c r="B86" i="10"/>
  <c r="B87" i="10"/>
  <c r="B88" i="10"/>
  <c r="B89" i="10"/>
  <c r="B90" i="10"/>
  <c r="B91" i="10"/>
  <c r="B92" i="10"/>
  <c r="B93" i="10"/>
  <c r="B47" i="10"/>
  <c r="B48" i="10" s="1"/>
  <c r="B49" i="10" s="1"/>
  <c r="B50" i="10" s="1"/>
  <c r="B51" i="10" s="1"/>
  <c r="B52" i="10" s="1"/>
  <c r="B53" i="10" s="1"/>
  <c r="B54" i="10" s="1"/>
  <c r="B55" i="10" s="1"/>
  <c r="B56" i="10" s="1"/>
  <c r="B57" i="10" s="1"/>
  <c r="B58" i="10" s="1"/>
  <c r="B59" i="10" s="1"/>
  <c r="B60" i="10" s="1"/>
  <c r="B61" i="10" s="1"/>
  <c r="B62" i="10" s="1"/>
  <c r="B63" i="10" s="1"/>
  <c r="B46" i="10"/>
  <c r="B45" i="10"/>
  <c r="C64" i="10"/>
  <c r="C65" i="10"/>
  <c r="C66" i="10" s="1"/>
  <c r="C67" i="10" s="1"/>
  <c r="C68" i="10" s="1"/>
  <c r="C69" i="10" s="1"/>
  <c r="C70" i="10" s="1"/>
  <c r="C71" i="10" s="1"/>
  <c r="C72" i="10" s="1"/>
  <c r="C73" i="10" s="1"/>
  <c r="C74" i="10" s="1"/>
  <c r="C75" i="10" s="1"/>
  <c r="C76" i="10" s="1"/>
  <c r="C77" i="10" s="1"/>
  <c r="C78" i="10" s="1"/>
  <c r="C79" i="10" s="1"/>
  <c r="C80" i="10" s="1"/>
  <c r="C81" i="10" s="1"/>
  <c r="C82" i="10" s="1"/>
  <c r="C83" i="10" s="1"/>
  <c r="C84" i="10" s="1"/>
  <c r="C85" i="10" s="1"/>
  <c r="C86" i="10" s="1"/>
  <c r="C87" i="10" s="1"/>
  <c r="C88" i="10" s="1"/>
  <c r="C89" i="10" s="1"/>
  <c r="C90" i="10" s="1"/>
  <c r="C91" i="10" s="1"/>
  <c r="C92" i="10" s="1"/>
  <c r="C93" i="10" s="1"/>
  <c r="C48" i="10"/>
  <c r="C49" i="10" s="1"/>
  <c r="C50" i="10" s="1"/>
  <c r="C51" i="10" s="1"/>
  <c r="C52" i="10" s="1"/>
  <c r="C53" i="10" s="1"/>
  <c r="C54" i="10" s="1"/>
  <c r="C55" i="10" s="1"/>
  <c r="C56" i="10" s="1"/>
  <c r="C57" i="10" s="1"/>
  <c r="C58" i="10" s="1"/>
  <c r="C59" i="10" s="1"/>
  <c r="C60" i="10" s="1"/>
  <c r="C61" i="10" s="1"/>
  <c r="C62" i="10" s="1"/>
  <c r="C63" i="10" s="1"/>
  <c r="C47" i="10"/>
  <c r="C46" i="10"/>
  <c r="C45" i="10"/>
  <c r="C44" i="10"/>
  <c r="N45" i="9"/>
  <c r="T44" i="9"/>
  <c r="R44" i="9"/>
  <c r="P44" i="9"/>
  <c r="N44" i="9"/>
  <c r="O44" i="9"/>
  <c r="U49" i="10" l="1"/>
  <c r="U50" i="10" s="1"/>
  <c r="U51" i="10" s="1"/>
  <c r="U52" i="10" s="1"/>
  <c r="U53" i="10" s="1"/>
  <c r="U54" i="10" s="1"/>
  <c r="U55" i="10" s="1"/>
  <c r="U56" i="10" s="1"/>
  <c r="U57" i="10" s="1"/>
  <c r="U58" i="10" s="1"/>
  <c r="U59" i="10" s="1"/>
  <c r="U60" i="10" s="1"/>
  <c r="U61" i="10" s="1"/>
  <c r="U62" i="10" s="1"/>
  <c r="U63" i="10" s="1"/>
  <c r="T45" i="10"/>
  <c r="T46" i="10" s="1"/>
  <c r="T47" i="10" s="1"/>
  <c r="T48" i="10" s="1"/>
  <c r="T49" i="10" s="1"/>
  <c r="T50" i="10" s="1"/>
  <c r="T51" i="10" s="1"/>
  <c r="T52" i="10" s="1"/>
  <c r="T53" i="10" s="1"/>
  <c r="T54" i="10" s="1"/>
  <c r="T55" i="10" s="1"/>
  <c r="T56" i="10" s="1"/>
  <c r="T57" i="10" s="1"/>
  <c r="T58" i="10" s="1"/>
  <c r="T59" i="10" s="1"/>
  <c r="T60" i="10" s="1"/>
  <c r="T61" i="10" s="1"/>
  <c r="T62" i="10" s="1"/>
  <c r="T63" i="10" s="1"/>
  <c r="F45" i="12"/>
  <c r="M52" i="9"/>
  <c r="M47" i="9"/>
  <c r="G44" i="9"/>
  <c r="E42" i="9" l="1"/>
  <c r="G44" i="10"/>
  <c r="C39" i="12"/>
  <c r="I33" i="12"/>
  <c r="C38" i="12"/>
  <c r="I43" i="12"/>
  <c r="D43" i="12"/>
  <c r="A43" i="12"/>
  <c r="C40" i="12"/>
  <c r="A40" i="12"/>
  <c r="A39" i="12"/>
  <c r="A38" i="12"/>
  <c r="C37" i="12"/>
  <c r="A37" i="12"/>
  <c r="H33" i="12"/>
  <c r="C25" i="12"/>
  <c r="H43" i="11"/>
  <c r="D43" i="11"/>
  <c r="A43" i="11"/>
  <c r="A27" i="11" s="1"/>
  <c r="C40" i="11"/>
  <c r="A40" i="11"/>
  <c r="C39" i="11"/>
  <c r="A39" i="11"/>
  <c r="C38" i="11"/>
  <c r="A38" i="11"/>
  <c r="C37" i="11"/>
  <c r="A37" i="11"/>
  <c r="H33" i="11"/>
  <c r="G33" i="11"/>
  <c r="C25" i="11"/>
  <c r="M44" i="10"/>
  <c r="H44" i="10"/>
  <c r="B44" i="10"/>
  <c r="E42" i="10"/>
  <c r="B42" i="10"/>
  <c r="B41" i="10"/>
  <c r="D40" i="10"/>
  <c r="B40" i="10"/>
  <c r="D39" i="10"/>
  <c r="B39" i="10"/>
  <c r="D38" i="10"/>
  <c r="B38" i="10"/>
  <c r="M34" i="10"/>
  <c r="L34" i="10"/>
  <c r="G34" i="10"/>
  <c r="D26" i="10"/>
  <c r="L44" i="9"/>
  <c r="H44" i="9"/>
  <c r="B44" i="9"/>
  <c r="B42" i="9"/>
  <c r="B41" i="9"/>
  <c r="D40" i="9"/>
  <c r="B40" i="9"/>
  <c r="D39" i="9"/>
  <c r="B39" i="9"/>
  <c r="D38" i="9"/>
  <c r="B38" i="9"/>
  <c r="L34" i="9"/>
  <c r="K34" i="9"/>
  <c r="G34" i="9"/>
  <c r="D26" i="9"/>
  <c r="B44" i="11" l="1"/>
  <c r="B43" i="11"/>
  <c r="G43" i="11" s="1"/>
  <c r="J43" i="11" s="1"/>
  <c r="F43" i="12"/>
  <c r="F42" i="10"/>
  <c r="B29" i="10"/>
  <c r="C39" i="10"/>
  <c r="J44" i="10"/>
  <c r="G42" i="10"/>
  <c r="I44" i="9"/>
  <c r="B29" i="9"/>
  <c r="C45" i="9" s="1"/>
  <c r="F42" i="9"/>
  <c r="G42" i="9" s="1"/>
  <c r="E44" i="10"/>
  <c r="O44" i="10" s="1"/>
  <c r="C39" i="9"/>
  <c r="J39" i="9" s="1"/>
  <c r="B39" i="12"/>
  <c r="G39" i="12" s="1"/>
  <c r="B40" i="12"/>
  <c r="G40" i="12" s="1"/>
  <c r="C33" i="12"/>
  <c r="E43" i="12"/>
  <c r="B38" i="12"/>
  <c r="G38" i="12" s="1"/>
  <c r="B37" i="12"/>
  <c r="G37" i="12" s="1"/>
  <c r="Q37" i="12" s="1"/>
  <c r="A27" i="12"/>
  <c r="B39" i="11"/>
  <c r="F39" i="11" s="1"/>
  <c r="B37" i="11"/>
  <c r="F37" i="11" s="1"/>
  <c r="P37" i="11" s="1"/>
  <c r="B40" i="11"/>
  <c r="F40" i="11" s="1"/>
  <c r="B38" i="11"/>
  <c r="F38" i="11" s="1"/>
  <c r="C40" i="10"/>
  <c r="K40" i="10" s="1"/>
  <c r="C38" i="10"/>
  <c r="C38" i="9"/>
  <c r="J38" i="9" s="1"/>
  <c r="C40" i="9"/>
  <c r="J40" i="9" s="1"/>
  <c r="C33" i="11"/>
  <c r="E43" i="11"/>
  <c r="I43" i="11" s="1"/>
  <c r="K38" i="10"/>
  <c r="U38" i="10" s="1"/>
  <c r="K39" i="10"/>
  <c r="D34" i="10"/>
  <c r="R44" i="10"/>
  <c r="I44" i="10"/>
  <c r="D34" i="9"/>
  <c r="K43" i="11" l="1"/>
  <c r="L43" i="11"/>
  <c r="A44" i="11"/>
  <c r="M44" i="11"/>
  <c r="H44" i="11"/>
  <c r="G44" i="11"/>
  <c r="B45" i="11"/>
  <c r="M43" i="11"/>
  <c r="N43" i="11" s="1"/>
  <c r="O43" i="11" s="1"/>
  <c r="D44" i="11"/>
  <c r="E44" i="11" s="1"/>
  <c r="P44" i="10"/>
  <c r="S44" i="10" s="1"/>
  <c r="E45" i="9"/>
  <c r="Q45" i="9"/>
  <c r="Q44" i="9"/>
  <c r="L45" i="9"/>
  <c r="F45" i="9"/>
  <c r="I45" i="9"/>
  <c r="C46" i="9"/>
  <c r="B45" i="9"/>
  <c r="T38" i="9"/>
  <c r="T39" i="9" s="1"/>
  <c r="T40" i="9" s="1"/>
  <c r="Q38" i="12"/>
  <c r="Q39" i="12" s="1"/>
  <c r="Q40" i="12" s="1"/>
  <c r="C44" i="9"/>
  <c r="N43" i="12"/>
  <c r="J43" i="12"/>
  <c r="P38" i="11"/>
  <c r="P39" i="11" s="1"/>
  <c r="P40" i="11" s="1"/>
  <c r="E46" i="10"/>
  <c r="I44" i="11" l="1"/>
  <c r="K44" i="11" s="1"/>
  <c r="A45" i="11"/>
  <c r="B46" i="11"/>
  <c r="M45" i="11"/>
  <c r="D45" i="11"/>
  <c r="E45" i="11" s="1"/>
  <c r="I45" i="11" s="1"/>
  <c r="K45" i="11" s="1"/>
  <c r="H45" i="11"/>
  <c r="G45" i="11"/>
  <c r="J44" i="11"/>
  <c r="K46" i="9"/>
  <c r="O45" i="9"/>
  <c r="H46" i="9"/>
  <c r="I46" i="9" s="1"/>
  <c r="Q46" i="9"/>
  <c r="L46" i="9"/>
  <c r="G45" i="9"/>
  <c r="F46" i="9" s="1"/>
  <c r="C47" i="9"/>
  <c r="K47" i="9" s="1"/>
  <c r="B46" i="9"/>
  <c r="B47" i="9" s="1"/>
  <c r="E44" i="9"/>
  <c r="P43" i="11"/>
  <c r="K43" i="12"/>
  <c r="U39" i="10"/>
  <c r="U40" i="10" s="1"/>
  <c r="T44" i="10"/>
  <c r="Q44" i="10"/>
  <c r="H47" i="10"/>
  <c r="I47" i="10" s="1"/>
  <c r="G46" i="11" l="1"/>
  <c r="J45" i="11"/>
  <c r="N44" i="11"/>
  <c r="O44" i="11" s="1"/>
  <c r="N45" i="11"/>
  <c r="O45" i="11"/>
  <c r="M46" i="11"/>
  <c r="H46" i="11"/>
  <c r="A46" i="11"/>
  <c r="J46" i="11"/>
  <c r="B47" i="11"/>
  <c r="D46" i="11"/>
  <c r="E46" i="11" s="1"/>
  <c r="I46" i="11" s="1"/>
  <c r="K46" i="11" s="1"/>
  <c r="L44" i="11"/>
  <c r="L45" i="11" s="1"/>
  <c r="D46" i="12"/>
  <c r="E46" i="12" s="1"/>
  <c r="P45" i="9"/>
  <c r="R45" i="9"/>
  <c r="E47" i="10"/>
  <c r="F47" i="10"/>
  <c r="L47" i="9"/>
  <c r="C48" i="9"/>
  <c r="K48" i="9" s="1"/>
  <c r="H47" i="9"/>
  <c r="I47" i="9" s="1"/>
  <c r="Q47" i="9"/>
  <c r="M46" i="9"/>
  <c r="O46" i="9" s="1"/>
  <c r="B48" i="9"/>
  <c r="E46" i="9"/>
  <c r="N46" i="9" s="1"/>
  <c r="L43" i="12"/>
  <c r="O43" i="12" s="1"/>
  <c r="A47" i="11" l="1"/>
  <c r="P44" i="11"/>
  <c r="P45" i="11" s="1"/>
  <c r="H47" i="11"/>
  <c r="L46" i="11"/>
  <c r="B48" i="11"/>
  <c r="M47" i="11"/>
  <c r="D47" i="11"/>
  <c r="E47" i="11" s="1"/>
  <c r="I47" i="11" s="1"/>
  <c r="K47" i="11" s="1"/>
  <c r="G47" i="11"/>
  <c r="N46" i="11"/>
  <c r="O46" i="11" s="1"/>
  <c r="D47" i="12"/>
  <c r="G46" i="9"/>
  <c r="F47" i="9" s="1"/>
  <c r="O47" i="9" s="1"/>
  <c r="R46" i="9"/>
  <c r="C49" i="9"/>
  <c r="H48" i="9"/>
  <c r="I48" i="9" s="1"/>
  <c r="Q48" i="9"/>
  <c r="L48" i="9"/>
  <c r="L49" i="9" s="1"/>
  <c r="E47" i="9"/>
  <c r="P46" i="9"/>
  <c r="S44" i="9"/>
  <c r="S45" i="9" s="1"/>
  <c r="M43" i="12"/>
  <c r="Q43" i="12"/>
  <c r="H48" i="10"/>
  <c r="B49" i="11" l="1"/>
  <c r="M48" i="11"/>
  <c r="D48" i="11"/>
  <c r="E48" i="11" s="1"/>
  <c r="J48" i="11"/>
  <c r="H48" i="11"/>
  <c r="H49" i="11" s="1"/>
  <c r="A48" i="11"/>
  <c r="A49" i="11" s="1"/>
  <c r="G48" i="11"/>
  <c r="J47" i="11"/>
  <c r="N47" i="11" s="1"/>
  <c r="O47" i="11" s="1"/>
  <c r="P46" i="11"/>
  <c r="E47" i="12"/>
  <c r="F47" i="12"/>
  <c r="D48" i="12"/>
  <c r="E48" i="12" s="1"/>
  <c r="I48" i="10"/>
  <c r="J48" i="10"/>
  <c r="K49" i="9"/>
  <c r="S46" i="9"/>
  <c r="G47" i="9"/>
  <c r="N47" i="9"/>
  <c r="R47" i="9" s="1"/>
  <c r="M48" i="9"/>
  <c r="C50" i="9"/>
  <c r="H49" i="9"/>
  <c r="I49" i="9" s="1"/>
  <c r="M49" i="9" s="1"/>
  <c r="Q49" i="9"/>
  <c r="B49" i="9"/>
  <c r="P43" i="12"/>
  <c r="H49" i="10"/>
  <c r="I49" i="10" s="1"/>
  <c r="I48" i="11" l="1"/>
  <c r="K48" i="11" s="1"/>
  <c r="N48" i="11" s="1"/>
  <c r="O48" i="11" s="1"/>
  <c r="P47" i="11"/>
  <c r="P48" i="11" s="1"/>
  <c r="B50" i="11"/>
  <c r="H50" i="11" s="1"/>
  <c r="J49" i="11"/>
  <c r="M49" i="11"/>
  <c r="D49" i="11"/>
  <c r="E49" i="11" s="1"/>
  <c r="I49" i="11" s="1"/>
  <c r="K49" i="11" s="1"/>
  <c r="N49" i="11" s="1"/>
  <c r="L47" i="11"/>
  <c r="G49" i="11"/>
  <c r="F48" i="12"/>
  <c r="J49" i="10"/>
  <c r="S47" i="9"/>
  <c r="K50" i="9"/>
  <c r="B50" i="9"/>
  <c r="P47" i="9"/>
  <c r="C51" i="9"/>
  <c r="H50" i="9"/>
  <c r="I50" i="9" s="1"/>
  <c r="Q50" i="9"/>
  <c r="L50" i="9"/>
  <c r="D49" i="12"/>
  <c r="E49" i="12" s="1"/>
  <c r="O49" i="11" l="1"/>
  <c r="P49" i="11"/>
  <c r="A50" i="11"/>
  <c r="G50" i="11"/>
  <c r="J50" i="11" s="1"/>
  <c r="B51" i="11"/>
  <c r="M50" i="11"/>
  <c r="D50" i="11"/>
  <c r="E50" i="11" s="1"/>
  <c r="I50" i="11" s="1"/>
  <c r="K50" i="11" s="1"/>
  <c r="N50" i="11" s="1"/>
  <c r="L48" i="11"/>
  <c r="L49" i="11" s="1"/>
  <c r="F49" i="12"/>
  <c r="K51" i="9"/>
  <c r="L51" i="9"/>
  <c r="B51" i="9"/>
  <c r="C52" i="9"/>
  <c r="K52" i="9" s="1"/>
  <c r="Q51" i="9"/>
  <c r="H51" i="9"/>
  <c r="I51" i="9" s="1"/>
  <c r="M51" i="9" s="1"/>
  <c r="L52" i="9"/>
  <c r="M50" i="9"/>
  <c r="F48" i="9"/>
  <c r="O48" i="9" s="1"/>
  <c r="H50" i="10"/>
  <c r="I50" i="10" s="1"/>
  <c r="A51" i="11" l="1"/>
  <c r="P50" i="11"/>
  <c r="B52" i="11"/>
  <c r="M51" i="11"/>
  <c r="D51" i="11"/>
  <c r="E51" i="11" s="1"/>
  <c r="I51" i="11" s="1"/>
  <c r="K51" i="11" s="1"/>
  <c r="G51" i="11"/>
  <c r="G52" i="11" s="1"/>
  <c r="L50" i="11"/>
  <c r="O50" i="11"/>
  <c r="H51" i="11"/>
  <c r="J50" i="10"/>
  <c r="B52" i="9"/>
  <c r="C53" i="9"/>
  <c r="K53" i="9" s="1"/>
  <c r="Q52" i="9"/>
  <c r="H52" i="9"/>
  <c r="I52" i="9" s="1"/>
  <c r="E48" i="9"/>
  <c r="D50" i="12"/>
  <c r="E50" i="12" s="1"/>
  <c r="J51" i="11" l="1"/>
  <c r="N51" i="11" s="1"/>
  <c r="B53" i="11"/>
  <c r="G53" i="11" s="1"/>
  <c r="M52" i="11"/>
  <c r="J52" i="11"/>
  <c r="D52" i="11"/>
  <c r="E52" i="11" s="1"/>
  <c r="H52" i="11"/>
  <c r="H53" i="11" s="1"/>
  <c r="A52" i="11"/>
  <c r="F50" i="12"/>
  <c r="C54" i="9"/>
  <c r="K54" i="9" s="1"/>
  <c r="Q53" i="9"/>
  <c r="H53" i="9"/>
  <c r="I53" i="9" s="1"/>
  <c r="B53" i="9"/>
  <c r="G48" i="9"/>
  <c r="F49" i="9" s="1"/>
  <c r="O49" i="9" s="1"/>
  <c r="N48" i="9"/>
  <c r="L53" i="9"/>
  <c r="L54" i="9" s="1"/>
  <c r="H51" i="10"/>
  <c r="I51" i="10" s="1"/>
  <c r="D51" i="12"/>
  <c r="E51" i="12" s="1"/>
  <c r="P51" i="11" l="1"/>
  <c r="O51" i="11"/>
  <c r="A53" i="11"/>
  <c r="L51" i="11"/>
  <c r="L52" i="11" s="1"/>
  <c r="B54" i="11"/>
  <c r="H54" i="11" s="1"/>
  <c r="J53" i="11"/>
  <c r="D53" i="11"/>
  <c r="E53" i="11" s="1"/>
  <c r="I53" i="11" s="1"/>
  <c r="K53" i="11" s="1"/>
  <c r="M53" i="11"/>
  <c r="I52" i="11"/>
  <c r="K52" i="11" s="1"/>
  <c r="N52" i="11" s="1"/>
  <c r="F51" i="12"/>
  <c r="J51" i="10"/>
  <c r="E48" i="10"/>
  <c r="F48" i="10"/>
  <c r="B54" i="9"/>
  <c r="R48" i="9"/>
  <c r="S48" i="9" s="1"/>
  <c r="P48" i="9"/>
  <c r="C55" i="9"/>
  <c r="K55" i="9" s="1"/>
  <c r="Q54" i="9"/>
  <c r="H54" i="9"/>
  <c r="I54" i="9" s="1"/>
  <c r="M54" i="9" s="1"/>
  <c r="M53" i="9"/>
  <c r="E49" i="9"/>
  <c r="A54" i="11" l="1"/>
  <c r="N53" i="11"/>
  <c r="L53" i="11"/>
  <c r="O52" i="11"/>
  <c r="O53" i="11" s="1"/>
  <c r="P52" i="11"/>
  <c r="P53" i="11" s="1"/>
  <c r="B55" i="11"/>
  <c r="J54" i="11"/>
  <c r="D54" i="11"/>
  <c r="E54" i="11" s="1"/>
  <c r="I54" i="11" s="1"/>
  <c r="M54" i="11"/>
  <c r="G54" i="11"/>
  <c r="D52" i="12"/>
  <c r="E52" i="12" s="1"/>
  <c r="J52" i="10"/>
  <c r="H52" i="10"/>
  <c r="I52" i="10" s="1"/>
  <c r="G48" i="10"/>
  <c r="L55" i="9"/>
  <c r="B55" i="9"/>
  <c r="G49" i="9"/>
  <c r="N49" i="9"/>
  <c r="R49" i="9" s="1"/>
  <c r="S49" i="9" s="1"/>
  <c r="C56" i="9"/>
  <c r="K56" i="9" s="1"/>
  <c r="Q55" i="9"/>
  <c r="H55" i="9"/>
  <c r="I55" i="9" s="1"/>
  <c r="M55" i="9" s="1"/>
  <c r="K54" i="11" l="1"/>
  <c r="N54" i="11" s="1"/>
  <c r="B56" i="11"/>
  <c r="D55" i="11"/>
  <c r="M55" i="11"/>
  <c r="E55" i="11"/>
  <c r="H55" i="11"/>
  <c r="H56" i="11" s="1"/>
  <c r="A55" i="11"/>
  <c r="A56" i="11" s="1"/>
  <c r="P54" i="11"/>
  <c r="G55" i="11"/>
  <c r="J55" i="11" s="1"/>
  <c r="O54" i="11"/>
  <c r="L54" i="11"/>
  <c r="F52" i="12"/>
  <c r="D53" i="12"/>
  <c r="E53" i="12" s="1"/>
  <c r="E49" i="10"/>
  <c r="G49" i="10" s="1"/>
  <c r="F49" i="10"/>
  <c r="C57" i="9"/>
  <c r="K57" i="9" s="1"/>
  <c r="Q56" i="9"/>
  <c r="H56" i="9"/>
  <c r="I56" i="9" s="1"/>
  <c r="P49" i="9"/>
  <c r="L56" i="9"/>
  <c r="L57" i="9" s="1"/>
  <c r="B56" i="9"/>
  <c r="B57" i="9" s="1"/>
  <c r="F50" i="9"/>
  <c r="O50" i="9" s="1"/>
  <c r="B57" i="11" l="1"/>
  <c r="A57" i="11" s="1"/>
  <c r="M56" i="11"/>
  <c r="J56" i="11"/>
  <c r="D56" i="11"/>
  <c r="E56" i="11" s="1"/>
  <c r="I56" i="11" s="1"/>
  <c r="K56" i="11" s="1"/>
  <c r="G56" i="11"/>
  <c r="I55" i="11"/>
  <c r="K55" i="11" s="1"/>
  <c r="N55" i="11" s="1"/>
  <c r="O55" i="11" s="1"/>
  <c r="P55" i="11"/>
  <c r="F53" i="12"/>
  <c r="H53" i="10"/>
  <c r="C58" i="9"/>
  <c r="K58" i="9" s="1"/>
  <c r="Q57" i="9"/>
  <c r="H57" i="9"/>
  <c r="I57" i="9" s="1"/>
  <c r="M57" i="9" s="1"/>
  <c r="M56" i="9"/>
  <c r="B58" i="9"/>
  <c r="E50" i="9"/>
  <c r="D54" i="12"/>
  <c r="E54" i="12" s="1"/>
  <c r="G57" i="11" l="1"/>
  <c r="L55" i="11"/>
  <c r="N56" i="11"/>
  <c r="H57" i="11"/>
  <c r="O56" i="11"/>
  <c r="P56" i="11"/>
  <c r="L56" i="11"/>
  <c r="B58" i="11"/>
  <c r="H58" i="11" s="1"/>
  <c r="J57" i="11"/>
  <c r="M57" i="11"/>
  <c r="D57" i="11"/>
  <c r="E57" i="11" s="1"/>
  <c r="I57" i="11" s="1"/>
  <c r="K57" i="11" s="1"/>
  <c r="N57" i="11" s="1"/>
  <c r="F54" i="12"/>
  <c r="I53" i="10"/>
  <c r="J53" i="10"/>
  <c r="L58" i="9"/>
  <c r="G50" i="9"/>
  <c r="N50" i="9"/>
  <c r="C59" i="9"/>
  <c r="K59" i="9" s="1"/>
  <c r="H58" i="9"/>
  <c r="I58" i="9" s="1"/>
  <c r="M58" i="9" s="1"/>
  <c r="Q58" i="9"/>
  <c r="F51" i="9"/>
  <c r="O51" i="9" s="1"/>
  <c r="H54" i="10"/>
  <c r="I54" i="10" s="1"/>
  <c r="L57" i="11" l="1"/>
  <c r="P57" i="11"/>
  <c r="B59" i="11"/>
  <c r="M58" i="11"/>
  <c r="J58" i="11"/>
  <c r="D58" i="11"/>
  <c r="E58" i="11" s="1"/>
  <c r="I58" i="11" s="1"/>
  <c r="K58" i="11" s="1"/>
  <c r="O57" i="11"/>
  <c r="A58" i="11"/>
  <c r="G58" i="11"/>
  <c r="J54" i="10"/>
  <c r="E50" i="10"/>
  <c r="F50" i="10"/>
  <c r="C60" i="9"/>
  <c r="K60" i="9" s="1"/>
  <c r="H59" i="9"/>
  <c r="I59" i="9" s="1"/>
  <c r="Q59" i="9"/>
  <c r="B59" i="9"/>
  <c r="L59" i="9"/>
  <c r="R50" i="9"/>
  <c r="S50" i="9" s="1"/>
  <c r="P50" i="9"/>
  <c r="E51" i="9"/>
  <c r="N51" i="9" s="1"/>
  <c r="R51" i="9" s="1"/>
  <c r="D55" i="12"/>
  <c r="E55" i="12" s="1"/>
  <c r="B60" i="11" l="1"/>
  <c r="M59" i="11"/>
  <c r="D59" i="11"/>
  <c r="E59" i="11" s="1"/>
  <c r="J59" i="11"/>
  <c r="N58" i="11"/>
  <c r="P58" i="11" s="1"/>
  <c r="L58" i="11"/>
  <c r="G59" i="11"/>
  <c r="H59" i="11"/>
  <c r="H60" i="11" s="1"/>
  <c r="A59" i="11"/>
  <c r="A60" i="11" s="1"/>
  <c r="F55" i="12"/>
  <c r="G50" i="10"/>
  <c r="B60" i="9"/>
  <c r="L60" i="9"/>
  <c r="P51" i="9"/>
  <c r="C61" i="9"/>
  <c r="L61" i="9" s="1"/>
  <c r="H60" i="9"/>
  <c r="I60" i="9" s="1"/>
  <c r="M60" i="9" s="1"/>
  <c r="Q60" i="9"/>
  <c r="S51" i="9"/>
  <c r="M59" i="9"/>
  <c r="G51" i="9"/>
  <c r="E52" i="9" s="1"/>
  <c r="H55" i="10"/>
  <c r="I55" i="10" s="1"/>
  <c r="O58" i="11" l="1"/>
  <c r="B61" i="11"/>
  <c r="A61" i="11" s="1"/>
  <c r="D60" i="11"/>
  <c r="E60" i="11" s="1"/>
  <c r="I60" i="11" s="1"/>
  <c r="K60" i="11" s="1"/>
  <c r="M60" i="11"/>
  <c r="G60" i="11"/>
  <c r="I59" i="11"/>
  <c r="K59" i="11" s="1"/>
  <c r="N59" i="11" s="1"/>
  <c r="P59" i="11" s="1"/>
  <c r="J55" i="10"/>
  <c r="E51" i="10"/>
  <c r="G51" i="10" s="1"/>
  <c r="F51" i="10"/>
  <c r="K61" i="9"/>
  <c r="C62" i="9"/>
  <c r="L62" i="9" s="1"/>
  <c r="H61" i="9"/>
  <c r="I61" i="9" s="1"/>
  <c r="M61" i="9" s="1"/>
  <c r="Q61" i="9"/>
  <c r="B61" i="9"/>
  <c r="F52" i="9"/>
  <c r="O52" i="9" s="1"/>
  <c r="D56" i="12"/>
  <c r="E56" i="12" s="1"/>
  <c r="H56" i="10"/>
  <c r="I56" i="10" s="1"/>
  <c r="H61" i="11" l="1"/>
  <c r="G61" i="11"/>
  <c r="L59" i="11"/>
  <c r="O59" i="11"/>
  <c r="J60" i="11"/>
  <c r="N60" i="11" s="1"/>
  <c r="P60" i="11" s="1"/>
  <c r="B62" i="11"/>
  <c r="H62" i="11" s="1"/>
  <c r="J61" i="11"/>
  <c r="D61" i="11"/>
  <c r="E61" i="11" s="1"/>
  <c r="I61" i="11" s="1"/>
  <c r="K61" i="11" s="1"/>
  <c r="M61" i="11"/>
  <c r="F56" i="12"/>
  <c r="J56" i="10"/>
  <c r="B62" i="9"/>
  <c r="K62" i="9"/>
  <c r="C63" i="9"/>
  <c r="L63" i="9" s="1"/>
  <c r="H62" i="9"/>
  <c r="I62" i="9" s="1"/>
  <c r="M62" i="9" s="1"/>
  <c r="Q62" i="9"/>
  <c r="N52" i="9"/>
  <c r="P52" i="9" s="1"/>
  <c r="G52" i="9"/>
  <c r="D57" i="12"/>
  <c r="E57" i="12" s="1"/>
  <c r="N61" i="11" l="1"/>
  <c r="P61" i="11" s="1"/>
  <c r="L60" i="11"/>
  <c r="L61" i="11"/>
  <c r="M62" i="11"/>
  <c r="D62" i="11"/>
  <c r="E62" i="11" s="1"/>
  <c r="I62" i="11" s="1"/>
  <c r="K62" i="11" s="1"/>
  <c r="N62" i="11" s="1"/>
  <c r="P62" i="11" s="1"/>
  <c r="A62" i="11"/>
  <c r="B63" i="11"/>
  <c r="G62" i="11"/>
  <c r="J62" i="11" s="1"/>
  <c r="O60" i="11"/>
  <c r="O61" i="11" s="1"/>
  <c r="F57" i="12"/>
  <c r="E52" i="10"/>
  <c r="F52" i="10"/>
  <c r="K63" i="9"/>
  <c r="R52" i="9"/>
  <c r="S52" i="9" s="1"/>
  <c r="C64" i="9"/>
  <c r="H63" i="9"/>
  <c r="I63" i="9" s="1"/>
  <c r="M63" i="9" s="1"/>
  <c r="Q63" i="9"/>
  <c r="B63" i="9"/>
  <c r="F53" i="9"/>
  <c r="O53" i="9" s="1"/>
  <c r="E53" i="9"/>
  <c r="H57" i="10"/>
  <c r="I57" i="10" s="1"/>
  <c r="L62" i="11" l="1"/>
  <c r="O62" i="11"/>
  <c r="B64" i="11"/>
  <c r="I63" i="11"/>
  <c r="A63" i="11"/>
  <c r="P63" i="11"/>
  <c r="O63" i="11"/>
  <c r="M63" i="11"/>
  <c r="E63" i="11"/>
  <c r="L63" i="11"/>
  <c r="G63" i="11"/>
  <c r="J63" i="11" s="1"/>
  <c r="D63" i="11"/>
  <c r="K63" i="11"/>
  <c r="N63" i="11"/>
  <c r="H63" i="11"/>
  <c r="J57" i="10"/>
  <c r="G52" i="10"/>
  <c r="G53" i="9"/>
  <c r="N53" i="9"/>
  <c r="R53" i="9" s="1"/>
  <c r="S53" i="9" s="1"/>
  <c r="H64" i="9"/>
  <c r="I64" i="9" s="1"/>
  <c r="K64" i="9"/>
  <c r="Q64" i="9"/>
  <c r="L64" i="9"/>
  <c r="B64" i="9"/>
  <c r="C65" i="9"/>
  <c r="P53" i="9"/>
  <c r="D58" i="12"/>
  <c r="E58" i="12" s="1"/>
  <c r="H58" i="10"/>
  <c r="I58" i="10" s="1"/>
  <c r="D64" i="11" l="1"/>
  <c r="H64" i="11"/>
  <c r="O64" i="11"/>
  <c r="M64" i="11"/>
  <c r="K64" i="11"/>
  <c r="L64" i="11"/>
  <c r="I64" i="11"/>
  <c r="G64" i="11"/>
  <c r="P64" i="11"/>
  <c r="E64" i="11"/>
  <c r="A64" i="11"/>
  <c r="N64" i="11"/>
  <c r="J64" i="11"/>
  <c r="B65" i="11"/>
  <c r="F58" i="12"/>
  <c r="J58" i="10"/>
  <c r="E53" i="10"/>
  <c r="G53" i="10" s="1"/>
  <c r="F53" i="10"/>
  <c r="M64" i="9"/>
  <c r="L65" i="9"/>
  <c r="H65" i="9"/>
  <c r="I65" i="9"/>
  <c r="M65" i="9" s="1"/>
  <c r="K65" i="9"/>
  <c r="Q65" i="9"/>
  <c r="B65" i="9"/>
  <c r="C66" i="9"/>
  <c r="A65" i="11" l="1"/>
  <c r="J65" i="11"/>
  <c r="P65" i="11"/>
  <c r="O65" i="11"/>
  <c r="M65" i="11"/>
  <c r="E65" i="11"/>
  <c r="L65" i="11"/>
  <c r="K65" i="11"/>
  <c r="G65" i="11"/>
  <c r="N65" i="11"/>
  <c r="H65" i="11"/>
  <c r="I65" i="11"/>
  <c r="D65" i="11"/>
  <c r="B66" i="11"/>
  <c r="D59" i="12"/>
  <c r="E59" i="12" s="1"/>
  <c r="L66" i="9"/>
  <c r="H66" i="9"/>
  <c r="I66" i="9" s="1"/>
  <c r="M66" i="9" s="1"/>
  <c r="Q66" i="9"/>
  <c r="K66" i="9"/>
  <c r="C67" i="9"/>
  <c r="B66" i="9"/>
  <c r="H59" i="10"/>
  <c r="I59" i="10" s="1"/>
  <c r="F54" i="9"/>
  <c r="O54" i="9" s="1"/>
  <c r="H66" i="11" l="1"/>
  <c r="N66" i="11"/>
  <c r="J66" i="11"/>
  <c r="P66" i="11"/>
  <c r="D66" i="11"/>
  <c r="O66" i="11"/>
  <c r="M66" i="11"/>
  <c r="K66" i="11"/>
  <c r="L66" i="11"/>
  <c r="G66" i="11"/>
  <c r="E66" i="11"/>
  <c r="A66" i="11"/>
  <c r="I66" i="11"/>
  <c r="B67" i="11"/>
  <c r="F59" i="12"/>
  <c r="D60" i="12"/>
  <c r="E60" i="12" s="1"/>
  <c r="J59" i="10"/>
  <c r="H60" i="10" s="1"/>
  <c r="I60" i="10" s="1"/>
  <c r="Q67" i="9"/>
  <c r="L67" i="9"/>
  <c r="H67" i="9"/>
  <c r="I67" i="9" s="1"/>
  <c r="M67" i="9" s="1"/>
  <c r="K67" i="9"/>
  <c r="B67" i="9"/>
  <c r="C68" i="9"/>
  <c r="E54" i="9"/>
  <c r="L67" i="11" l="1"/>
  <c r="K67" i="11"/>
  <c r="G67" i="11"/>
  <c r="I67" i="11"/>
  <c r="A67" i="11"/>
  <c r="J67" i="11"/>
  <c r="P67" i="11"/>
  <c r="N67" i="11"/>
  <c r="H67" i="11"/>
  <c r="D67" i="11"/>
  <c r="O67" i="11"/>
  <c r="M67" i="11"/>
  <c r="E67" i="11"/>
  <c r="B68" i="11"/>
  <c r="F60" i="12"/>
  <c r="J60" i="10"/>
  <c r="E54" i="10"/>
  <c r="F54" i="10"/>
  <c r="G54" i="9"/>
  <c r="N54" i="9"/>
  <c r="K68" i="9"/>
  <c r="Q68" i="9"/>
  <c r="L68" i="9"/>
  <c r="H68" i="9"/>
  <c r="I68" i="9" s="1"/>
  <c r="M68" i="9" s="1"/>
  <c r="C69" i="9"/>
  <c r="B68" i="9"/>
  <c r="G33" i="12"/>
  <c r="N68" i="11" l="1"/>
  <c r="D68" i="11"/>
  <c r="A68" i="11"/>
  <c r="J68" i="11"/>
  <c r="P68" i="11"/>
  <c r="K68" i="11"/>
  <c r="H68" i="11"/>
  <c r="I68" i="11"/>
  <c r="G68" i="11"/>
  <c r="O68" i="11"/>
  <c r="M68" i="11"/>
  <c r="L68" i="11"/>
  <c r="E68" i="11"/>
  <c r="B69" i="11"/>
  <c r="D61" i="12"/>
  <c r="E61" i="12" s="1"/>
  <c r="G54" i="10"/>
  <c r="K69" i="9"/>
  <c r="Q69" i="9"/>
  <c r="L69" i="9"/>
  <c r="H69" i="9"/>
  <c r="I69" i="9" s="1"/>
  <c r="M69" i="9" s="1"/>
  <c r="C70" i="9"/>
  <c r="B69" i="9"/>
  <c r="R54" i="9"/>
  <c r="S54" i="9" s="1"/>
  <c r="P54" i="9"/>
  <c r="H61" i="10"/>
  <c r="I61" i="10" s="1"/>
  <c r="F55" i="9"/>
  <c r="O55" i="9" s="1"/>
  <c r="I69" i="11" l="1"/>
  <c r="A69" i="11"/>
  <c r="J69" i="11"/>
  <c r="P69" i="11"/>
  <c r="O69" i="11"/>
  <c r="M69" i="11"/>
  <c r="E69" i="11"/>
  <c r="N69" i="11"/>
  <c r="L69" i="11"/>
  <c r="K69" i="11"/>
  <c r="G69" i="11"/>
  <c r="D69" i="11"/>
  <c r="H69" i="11"/>
  <c r="B70" i="11"/>
  <c r="F61" i="12"/>
  <c r="J61" i="10"/>
  <c r="E55" i="10"/>
  <c r="G55" i="10" s="1"/>
  <c r="F55" i="10"/>
  <c r="K70" i="9"/>
  <c r="Q70" i="9"/>
  <c r="L70" i="9"/>
  <c r="H70" i="9"/>
  <c r="I70" i="9"/>
  <c r="M70" i="9" s="1"/>
  <c r="C71" i="9"/>
  <c r="B70" i="9"/>
  <c r="E55" i="9"/>
  <c r="D70" i="11" l="1"/>
  <c r="H70" i="11"/>
  <c r="E70" i="11"/>
  <c r="A70" i="11"/>
  <c r="J70" i="11"/>
  <c r="P70" i="11"/>
  <c r="L70" i="11"/>
  <c r="I70" i="11"/>
  <c r="O70" i="11"/>
  <c r="M70" i="11"/>
  <c r="K70" i="11"/>
  <c r="G70" i="11"/>
  <c r="N70" i="11"/>
  <c r="B71" i="11"/>
  <c r="D62" i="12"/>
  <c r="E62" i="12" s="1"/>
  <c r="K71" i="9"/>
  <c r="Q71" i="9"/>
  <c r="L71" i="9"/>
  <c r="H71" i="9"/>
  <c r="I71" i="9"/>
  <c r="M71" i="9" s="1"/>
  <c r="C72" i="9"/>
  <c r="B71" i="9"/>
  <c r="G55" i="9"/>
  <c r="N55" i="9"/>
  <c r="H62" i="10"/>
  <c r="I62" i="10" s="1"/>
  <c r="A71" i="11" l="1"/>
  <c r="J71" i="11"/>
  <c r="P71" i="11"/>
  <c r="O71" i="11"/>
  <c r="M71" i="11"/>
  <c r="E71" i="11"/>
  <c r="L71" i="11"/>
  <c r="K71" i="11"/>
  <c r="G71" i="11"/>
  <c r="I71" i="11"/>
  <c r="H71" i="11"/>
  <c r="D71" i="11"/>
  <c r="N71" i="11"/>
  <c r="B72" i="11"/>
  <c r="F62" i="12"/>
  <c r="H6" i="12"/>
  <c r="J62" i="10"/>
  <c r="K72" i="9"/>
  <c r="Q72" i="9"/>
  <c r="L72" i="9"/>
  <c r="H72" i="9"/>
  <c r="I72" i="9" s="1"/>
  <c r="M72" i="9" s="1"/>
  <c r="C73" i="9"/>
  <c r="C74" i="9" s="1"/>
  <c r="B72" i="9"/>
  <c r="P55" i="9"/>
  <c r="R55" i="9"/>
  <c r="S55" i="9" s="1"/>
  <c r="F56" i="9"/>
  <c r="O56" i="9" s="1"/>
  <c r="H72" i="11" l="1"/>
  <c r="N72" i="11"/>
  <c r="L72" i="11"/>
  <c r="G72" i="11"/>
  <c r="I72" i="11"/>
  <c r="E72" i="11"/>
  <c r="J72" i="11"/>
  <c r="P72" i="11"/>
  <c r="O72" i="11"/>
  <c r="M72" i="11"/>
  <c r="K72" i="11"/>
  <c r="D72" i="11"/>
  <c r="A72" i="11"/>
  <c r="B73" i="11"/>
  <c r="J63" i="10"/>
  <c r="E56" i="10"/>
  <c r="F56" i="10"/>
  <c r="C75" i="9"/>
  <c r="H74" i="9"/>
  <c r="I74" i="9"/>
  <c r="K74" i="9"/>
  <c r="L74" i="9"/>
  <c r="M74" i="9"/>
  <c r="Q74" i="9"/>
  <c r="B73" i="9"/>
  <c r="B74" i="9" s="1"/>
  <c r="K73" i="9"/>
  <c r="Q73" i="9"/>
  <c r="L73" i="9"/>
  <c r="H73" i="9"/>
  <c r="I73" i="9" s="1"/>
  <c r="M73" i="9" s="1"/>
  <c r="E56" i="9"/>
  <c r="H63" i="10"/>
  <c r="I63" i="10" s="1"/>
  <c r="L73" i="11" l="1"/>
  <c r="K73" i="11"/>
  <c r="G73" i="11"/>
  <c r="I73" i="11"/>
  <c r="O73" i="11"/>
  <c r="M73" i="11"/>
  <c r="A73" i="11"/>
  <c r="N73" i="11"/>
  <c r="E73" i="11"/>
  <c r="H73" i="11"/>
  <c r="J73" i="11"/>
  <c r="P73" i="11"/>
  <c r="D73" i="11"/>
  <c r="B74" i="11"/>
  <c r="G56" i="10"/>
  <c r="H75" i="9"/>
  <c r="I75" i="9"/>
  <c r="K75" i="9"/>
  <c r="L75" i="9"/>
  <c r="M75" i="9" s="1"/>
  <c r="Q75" i="9"/>
  <c r="B75" i="9"/>
  <c r="C76" i="9"/>
  <c r="G56" i="9"/>
  <c r="N56" i="9"/>
  <c r="N74" i="11" l="1"/>
  <c r="D74" i="11"/>
  <c r="J74" i="11"/>
  <c r="P74" i="11"/>
  <c r="K74" i="11"/>
  <c r="H74" i="11"/>
  <c r="O74" i="11"/>
  <c r="M74" i="11"/>
  <c r="L74" i="11"/>
  <c r="G74" i="11"/>
  <c r="I74" i="11"/>
  <c r="A74" i="11"/>
  <c r="E74" i="11"/>
  <c r="B75" i="11"/>
  <c r="L76" i="9"/>
  <c r="Q76" i="9"/>
  <c r="K76" i="9"/>
  <c r="H76" i="9"/>
  <c r="I76" i="9" s="1"/>
  <c r="M76" i="9" s="1"/>
  <c r="C77" i="9"/>
  <c r="B76" i="9"/>
  <c r="P56" i="9"/>
  <c r="R56" i="9"/>
  <c r="S56" i="9" s="1"/>
  <c r="I75" i="11" l="1"/>
  <c r="A75" i="11"/>
  <c r="J75" i="11"/>
  <c r="P75" i="11"/>
  <c r="O75" i="11"/>
  <c r="M75" i="11"/>
  <c r="E75" i="11"/>
  <c r="N75" i="11"/>
  <c r="D75" i="11"/>
  <c r="K75" i="11"/>
  <c r="H75" i="11"/>
  <c r="L75" i="11"/>
  <c r="G75" i="11"/>
  <c r="B76" i="11"/>
  <c r="E57" i="10"/>
  <c r="F57" i="10"/>
  <c r="Q77" i="9"/>
  <c r="H77" i="9"/>
  <c r="I77" i="9"/>
  <c r="K77" i="9"/>
  <c r="L77" i="9"/>
  <c r="M77" i="9" s="1"/>
  <c r="C78" i="9"/>
  <c r="B77" i="9"/>
  <c r="F57" i="9"/>
  <c r="O57" i="9" s="1"/>
  <c r="D76" i="11" l="1"/>
  <c r="H76" i="11"/>
  <c r="A76" i="11"/>
  <c r="J76" i="11"/>
  <c r="P76" i="11"/>
  <c r="N76" i="11"/>
  <c r="O76" i="11"/>
  <c r="M76" i="11"/>
  <c r="K76" i="11"/>
  <c r="L76" i="11"/>
  <c r="I76" i="11"/>
  <c r="E76" i="11"/>
  <c r="G76" i="11"/>
  <c r="B77" i="11"/>
  <c r="G57" i="10"/>
  <c r="H78" i="9"/>
  <c r="I78" i="9"/>
  <c r="K78" i="9"/>
  <c r="Q78" i="9"/>
  <c r="L78" i="9"/>
  <c r="M78" i="9"/>
  <c r="C79" i="9"/>
  <c r="B78" i="9"/>
  <c r="E57" i="9"/>
  <c r="A77" i="11" l="1"/>
  <c r="J77" i="11"/>
  <c r="P77" i="11"/>
  <c r="O77" i="11"/>
  <c r="M77" i="11"/>
  <c r="E77" i="11"/>
  <c r="L77" i="11"/>
  <c r="K77" i="11"/>
  <c r="G77" i="11"/>
  <c r="D77" i="11"/>
  <c r="N77" i="11"/>
  <c r="H77" i="11"/>
  <c r="I77" i="11"/>
  <c r="B78" i="11"/>
  <c r="E58" i="10"/>
  <c r="G58" i="10" s="1"/>
  <c r="F58" i="10"/>
  <c r="H79" i="9"/>
  <c r="I79" i="9" s="1"/>
  <c r="K79" i="9"/>
  <c r="L79" i="9"/>
  <c r="M79" i="9" s="1"/>
  <c r="Q79" i="9"/>
  <c r="C80" i="9"/>
  <c r="B79" i="9"/>
  <c r="G57" i="9"/>
  <c r="N57" i="9"/>
  <c r="H78" i="11" l="1"/>
  <c r="N78" i="11"/>
  <c r="A78" i="11"/>
  <c r="J78" i="11"/>
  <c r="P78" i="11"/>
  <c r="G78" i="11"/>
  <c r="D78" i="11"/>
  <c r="L78" i="11"/>
  <c r="E78" i="11"/>
  <c r="I78" i="11"/>
  <c r="O78" i="11"/>
  <c r="M78" i="11"/>
  <c r="K78" i="11"/>
  <c r="B79" i="11"/>
  <c r="L80" i="9"/>
  <c r="Q80" i="9"/>
  <c r="K80" i="9"/>
  <c r="H80" i="9"/>
  <c r="I80" i="9"/>
  <c r="M80" i="9" s="1"/>
  <c r="C81" i="9"/>
  <c r="B80" i="9"/>
  <c r="R57" i="9"/>
  <c r="S57" i="9" s="1"/>
  <c r="P57" i="9"/>
  <c r="F58" i="9"/>
  <c r="O58" i="9" s="1"/>
  <c r="L79" i="11" l="1"/>
  <c r="K79" i="11"/>
  <c r="G79" i="11"/>
  <c r="I79" i="11"/>
  <c r="E79" i="11"/>
  <c r="A79" i="11"/>
  <c r="O79" i="11"/>
  <c r="M79" i="11"/>
  <c r="N79" i="11"/>
  <c r="D79" i="11"/>
  <c r="J79" i="11"/>
  <c r="H79" i="11"/>
  <c r="P79" i="11"/>
  <c r="B80" i="11"/>
  <c r="E59" i="10"/>
  <c r="F59" i="10"/>
  <c r="Q81" i="9"/>
  <c r="H81" i="9"/>
  <c r="I81" i="9" s="1"/>
  <c r="K81" i="9"/>
  <c r="L81" i="9"/>
  <c r="M81" i="9" s="1"/>
  <c r="C82" i="9"/>
  <c r="B81" i="9"/>
  <c r="E58" i="9"/>
  <c r="N80" i="11" l="1"/>
  <c r="D80" i="11"/>
  <c r="I80" i="11"/>
  <c r="E80" i="11"/>
  <c r="K80" i="11"/>
  <c r="O80" i="11"/>
  <c r="M80" i="11"/>
  <c r="G80" i="11"/>
  <c r="A80" i="11"/>
  <c r="J80" i="11"/>
  <c r="L80" i="11"/>
  <c r="H80" i="11"/>
  <c r="P80" i="11"/>
  <c r="B81" i="11"/>
  <c r="G59" i="10"/>
  <c r="H82" i="9"/>
  <c r="I82" i="9"/>
  <c r="K82" i="9"/>
  <c r="L82" i="9"/>
  <c r="M82" i="9" s="1"/>
  <c r="Q82" i="9"/>
  <c r="C83" i="9"/>
  <c r="B82" i="9"/>
  <c r="G58" i="9"/>
  <c r="F59" i="9" s="1"/>
  <c r="O59" i="9" s="1"/>
  <c r="N58" i="9"/>
  <c r="I81" i="11" l="1"/>
  <c r="A81" i="11"/>
  <c r="J81" i="11"/>
  <c r="O81" i="11"/>
  <c r="M81" i="11"/>
  <c r="E81" i="11"/>
  <c r="L81" i="11"/>
  <c r="P81" i="11"/>
  <c r="K81" i="11"/>
  <c r="N81" i="11"/>
  <c r="D81" i="11"/>
  <c r="H81" i="11"/>
  <c r="G81" i="11"/>
  <c r="B82" i="11"/>
  <c r="H83" i="9"/>
  <c r="I83" i="9"/>
  <c r="K83" i="9"/>
  <c r="L83" i="9"/>
  <c r="M83" i="9" s="1"/>
  <c r="O83" i="9" s="1"/>
  <c r="Q83" i="9"/>
  <c r="F83" i="9"/>
  <c r="B83" i="9"/>
  <c r="C84" i="9"/>
  <c r="E59" i="9"/>
  <c r="G59" i="9" s="1"/>
  <c r="P58" i="9"/>
  <c r="R58" i="9"/>
  <c r="S58" i="9" s="1"/>
  <c r="D82" i="11" l="1"/>
  <c r="P82" i="11"/>
  <c r="H82" i="11"/>
  <c r="O82" i="11"/>
  <c r="M82" i="11"/>
  <c r="K82" i="11"/>
  <c r="L82" i="11"/>
  <c r="I82" i="11"/>
  <c r="G82" i="11"/>
  <c r="A82" i="11"/>
  <c r="N82" i="11"/>
  <c r="E82" i="11"/>
  <c r="J82" i="11"/>
  <c r="B83" i="11"/>
  <c r="E60" i="10"/>
  <c r="F60" i="10"/>
  <c r="N59" i="9"/>
  <c r="R59" i="9" s="1"/>
  <c r="S59" i="9" s="1"/>
  <c r="L84" i="9"/>
  <c r="M84" i="9"/>
  <c r="Q84" i="9"/>
  <c r="N84" i="9"/>
  <c r="E84" i="9"/>
  <c r="O84" i="9"/>
  <c r="K84" i="9"/>
  <c r="P84" i="9"/>
  <c r="R84" i="9"/>
  <c r="G84" i="9"/>
  <c r="S84" i="9"/>
  <c r="T84" i="9"/>
  <c r="H84" i="9"/>
  <c r="F84" i="9"/>
  <c r="I84" i="9"/>
  <c r="C85" i="9"/>
  <c r="B84" i="9"/>
  <c r="P59" i="9"/>
  <c r="A83" i="11" l="1"/>
  <c r="O83" i="11"/>
  <c r="M83" i="11"/>
  <c r="E83" i="11"/>
  <c r="L83" i="11"/>
  <c r="K83" i="11"/>
  <c r="N83" i="11"/>
  <c r="H83" i="11"/>
  <c r="I83" i="11"/>
  <c r="P83" i="11"/>
  <c r="G83" i="11"/>
  <c r="J83" i="11" s="1"/>
  <c r="D83" i="11"/>
  <c r="B84" i="11"/>
  <c r="G60" i="10"/>
  <c r="P85" i="9"/>
  <c r="G85" i="9"/>
  <c r="Q85" i="9"/>
  <c r="R85" i="9"/>
  <c r="S85" i="9"/>
  <c r="T85" i="9"/>
  <c r="E85" i="9"/>
  <c r="M85" i="9"/>
  <c r="H85" i="9"/>
  <c r="I85" i="9"/>
  <c r="O85" i="9"/>
  <c r="K85" i="9"/>
  <c r="F85" i="9"/>
  <c r="L85" i="9"/>
  <c r="N85" i="9"/>
  <c r="B85" i="9"/>
  <c r="C86" i="9"/>
  <c r="F60" i="9"/>
  <c r="O60" i="9" s="1"/>
  <c r="P84" i="11" l="1"/>
  <c r="H84" i="11"/>
  <c r="N84" i="11"/>
  <c r="G84" i="11"/>
  <c r="J84" i="11" s="1"/>
  <c r="D84" i="11"/>
  <c r="O84" i="11"/>
  <c r="M84" i="11"/>
  <c r="K84" i="11"/>
  <c r="L84" i="11"/>
  <c r="I84" i="11"/>
  <c r="E84" i="11"/>
  <c r="B85" i="11"/>
  <c r="A84" i="11"/>
  <c r="E61" i="10"/>
  <c r="G61" i="10" s="1"/>
  <c r="F61" i="10"/>
  <c r="T86" i="9"/>
  <c r="G86" i="9"/>
  <c r="E86" i="9"/>
  <c r="H86" i="9"/>
  <c r="I86" i="9"/>
  <c r="K86" i="9"/>
  <c r="S86" i="9"/>
  <c r="L86" i="9"/>
  <c r="Q86" i="9"/>
  <c r="M86" i="9"/>
  <c r="N86" i="9"/>
  <c r="O86" i="9"/>
  <c r="P86" i="9"/>
  <c r="F86" i="9"/>
  <c r="R86" i="9"/>
  <c r="B86" i="9"/>
  <c r="C87" i="9"/>
  <c r="E60" i="9"/>
  <c r="L85" i="11" l="1"/>
  <c r="K85" i="11"/>
  <c r="I85" i="11"/>
  <c r="G85" i="11"/>
  <c r="N85" i="11"/>
  <c r="H85" i="11"/>
  <c r="D85" i="11"/>
  <c r="O85" i="11"/>
  <c r="M85" i="11"/>
  <c r="E85" i="11"/>
  <c r="J85" i="11"/>
  <c r="P85" i="11"/>
  <c r="B86" i="11"/>
  <c r="A85" i="11"/>
  <c r="H87" i="9"/>
  <c r="I87" i="9"/>
  <c r="G87" i="9"/>
  <c r="K87" i="9"/>
  <c r="L87" i="9"/>
  <c r="M87" i="9"/>
  <c r="N87" i="9"/>
  <c r="E87" i="9"/>
  <c r="O87" i="9"/>
  <c r="P87" i="9"/>
  <c r="Q87" i="9"/>
  <c r="R87" i="9"/>
  <c r="S87" i="9"/>
  <c r="T87" i="9"/>
  <c r="F87" i="9"/>
  <c r="B87" i="9"/>
  <c r="C88" i="9"/>
  <c r="G60" i="9"/>
  <c r="N60" i="9"/>
  <c r="F61" i="9"/>
  <c r="O61" i="9" s="1"/>
  <c r="H7" i="11"/>
  <c r="H8" i="11" a="1"/>
  <c r="H8" i="11" s="1"/>
  <c r="N86" i="11" l="1"/>
  <c r="G86" i="11"/>
  <c r="K86" i="11"/>
  <c r="I86" i="11"/>
  <c r="H86" i="11"/>
  <c r="E86" i="11"/>
  <c r="J86" i="11"/>
  <c r="O86" i="11"/>
  <c r="M86" i="11"/>
  <c r="P86" i="11"/>
  <c r="D86" i="11"/>
  <c r="L86" i="11"/>
  <c r="B87" i="11"/>
  <c r="A86" i="11"/>
  <c r="E62" i="10"/>
  <c r="F62" i="10"/>
  <c r="L88" i="9"/>
  <c r="Q88" i="9"/>
  <c r="F88" i="9"/>
  <c r="M88" i="9"/>
  <c r="N88" i="9"/>
  <c r="O88" i="9"/>
  <c r="G88" i="9"/>
  <c r="P88" i="9"/>
  <c r="R88" i="9"/>
  <c r="S88" i="9"/>
  <c r="E88" i="9"/>
  <c r="T88" i="9"/>
  <c r="K88" i="9"/>
  <c r="H88" i="9"/>
  <c r="I88" i="9"/>
  <c r="B88" i="9"/>
  <c r="C89" i="9"/>
  <c r="R60" i="9"/>
  <c r="S60" i="9" s="1"/>
  <c r="P60" i="9"/>
  <c r="E61" i="9"/>
  <c r="N87" i="11" l="1"/>
  <c r="I87" i="11"/>
  <c r="O87" i="11"/>
  <c r="M87" i="11"/>
  <c r="E87" i="11"/>
  <c r="J87" i="11"/>
  <c r="P87" i="11"/>
  <c r="G87" i="11"/>
  <c r="L87" i="11"/>
  <c r="H87" i="11"/>
  <c r="K87" i="11"/>
  <c r="D87" i="11"/>
  <c r="A87" i="11"/>
  <c r="B88" i="11"/>
  <c r="G62" i="10"/>
  <c r="F89" i="9"/>
  <c r="P89" i="9"/>
  <c r="T89" i="9"/>
  <c r="Q89" i="9"/>
  <c r="R89" i="9"/>
  <c r="S89" i="9"/>
  <c r="G89" i="9"/>
  <c r="M89" i="9"/>
  <c r="E89" i="9"/>
  <c r="O89" i="9"/>
  <c r="H89" i="9"/>
  <c r="I89" i="9"/>
  <c r="K89" i="9"/>
  <c r="L89" i="9"/>
  <c r="N89" i="9"/>
  <c r="C90" i="9"/>
  <c r="B89" i="9"/>
  <c r="G61" i="9"/>
  <c r="N61" i="9"/>
  <c r="R61" i="9" s="1"/>
  <c r="S61" i="9" s="1"/>
  <c r="F62" i="9"/>
  <c r="O62" i="9" s="1"/>
  <c r="F33" i="11"/>
  <c r="H6" i="11" s="1"/>
  <c r="J88" i="11" l="1"/>
  <c r="P88" i="11"/>
  <c r="H88" i="11"/>
  <c r="N88" i="11"/>
  <c r="E88" i="11"/>
  <c r="K88" i="11"/>
  <c r="D88" i="11"/>
  <c r="L88" i="11"/>
  <c r="I88" i="11"/>
  <c r="G88" i="11"/>
  <c r="O88" i="11"/>
  <c r="M88" i="11"/>
  <c r="B89" i="11"/>
  <c r="A88" i="11"/>
  <c r="T90" i="9"/>
  <c r="F90" i="9"/>
  <c r="H90" i="9"/>
  <c r="G90" i="9"/>
  <c r="I90" i="9"/>
  <c r="P90" i="9"/>
  <c r="K90" i="9"/>
  <c r="L90" i="9"/>
  <c r="M90" i="9"/>
  <c r="E90" i="9"/>
  <c r="Q90" i="9"/>
  <c r="N90" i="9"/>
  <c r="O90" i="9"/>
  <c r="S90" i="9"/>
  <c r="R90" i="9"/>
  <c r="B90" i="9"/>
  <c r="C91" i="9"/>
  <c r="P61" i="9"/>
  <c r="E62" i="9"/>
  <c r="F63" i="10"/>
  <c r="O89" i="11" l="1"/>
  <c r="E89" i="11"/>
  <c r="L89" i="11"/>
  <c r="I89" i="11"/>
  <c r="J89" i="11"/>
  <c r="P89" i="11"/>
  <c r="N89" i="11"/>
  <c r="M89" i="11"/>
  <c r="K89" i="11"/>
  <c r="D89" i="11"/>
  <c r="H89" i="11"/>
  <c r="G89" i="11"/>
  <c r="A89" i="11"/>
  <c r="B90" i="11"/>
  <c r="F34" i="10"/>
  <c r="E63" i="10"/>
  <c r="G63" i="10" s="1"/>
  <c r="H91" i="9"/>
  <c r="F91" i="9"/>
  <c r="I91" i="9"/>
  <c r="K91" i="9"/>
  <c r="L91" i="9"/>
  <c r="M91" i="9"/>
  <c r="N91" i="9"/>
  <c r="G91" i="9"/>
  <c r="O91" i="9"/>
  <c r="T91" i="9"/>
  <c r="P91" i="9"/>
  <c r="Q91" i="9"/>
  <c r="R91" i="9"/>
  <c r="E91" i="9"/>
  <c r="S91" i="9"/>
  <c r="B91" i="9"/>
  <c r="C92" i="9"/>
  <c r="G62" i="9"/>
  <c r="N62" i="9"/>
  <c r="R62" i="9" s="1"/>
  <c r="S62" i="9" s="1"/>
  <c r="F63" i="9"/>
  <c r="O63" i="9" s="1"/>
  <c r="H7" i="12"/>
  <c r="H8" i="12" a="1"/>
  <c r="H8" i="12" s="1"/>
  <c r="J90" i="11" l="1"/>
  <c r="P90" i="11"/>
  <c r="M90" i="11"/>
  <c r="H90" i="11"/>
  <c r="K90" i="11"/>
  <c r="G90" i="11"/>
  <c r="L90" i="11"/>
  <c r="D90" i="11"/>
  <c r="I90" i="11"/>
  <c r="E90" i="11"/>
  <c r="N90" i="11"/>
  <c r="O90" i="11"/>
  <c r="B91" i="11"/>
  <c r="A90" i="11"/>
  <c r="L92" i="9"/>
  <c r="M92" i="9"/>
  <c r="N92" i="9"/>
  <c r="Q92" i="9"/>
  <c r="F92" i="9"/>
  <c r="O92" i="9"/>
  <c r="P92" i="9"/>
  <c r="R92" i="9"/>
  <c r="S92" i="9"/>
  <c r="G92" i="9"/>
  <c r="H92" i="9"/>
  <c r="T92" i="9"/>
  <c r="E92" i="9"/>
  <c r="I92" i="9"/>
  <c r="K92" i="9"/>
  <c r="C93" i="9"/>
  <c r="B92" i="9"/>
  <c r="P62" i="9"/>
  <c r="E63" i="9"/>
  <c r="L91" i="11" l="1"/>
  <c r="N91" i="11"/>
  <c r="I91" i="11"/>
  <c r="D91" i="11"/>
  <c r="J91" i="11"/>
  <c r="P91" i="11"/>
  <c r="E91" i="11"/>
  <c r="H91" i="11"/>
  <c r="G91" i="11"/>
  <c r="O91" i="11"/>
  <c r="M91" i="11"/>
  <c r="K91" i="11"/>
  <c r="B92" i="11"/>
  <c r="A91" i="11"/>
  <c r="B93" i="9"/>
  <c r="P93" i="9"/>
  <c r="Q93" i="9"/>
  <c r="T93" i="9"/>
  <c r="R93" i="9"/>
  <c r="S93" i="9"/>
  <c r="O93" i="9"/>
  <c r="F93" i="9"/>
  <c r="G93" i="9"/>
  <c r="L93" i="9"/>
  <c r="H93" i="9"/>
  <c r="N93" i="9"/>
  <c r="I93" i="9"/>
  <c r="E93" i="9"/>
  <c r="K93" i="9"/>
  <c r="M93" i="9"/>
  <c r="G63" i="9"/>
  <c r="F64" i="9" s="1"/>
  <c r="O64" i="9" s="1"/>
  <c r="N63" i="9"/>
  <c r="K92" i="11" l="1"/>
  <c r="G92" i="11"/>
  <c r="H92" i="11"/>
  <c r="L92" i="11"/>
  <c r="I92" i="11"/>
  <c r="O92" i="11"/>
  <c r="M92" i="11"/>
  <c r="N92" i="11"/>
  <c r="D92" i="11"/>
  <c r="J92" i="11"/>
  <c r="E92" i="11"/>
  <c r="P92" i="11"/>
  <c r="B93" i="11"/>
  <c r="A92" i="11"/>
  <c r="R63" i="9"/>
  <c r="S63" i="9" s="1"/>
  <c r="I8" i="10"/>
  <c r="E64" i="9"/>
  <c r="G64" i="9" s="1"/>
  <c r="P63" i="9"/>
  <c r="F34" i="9"/>
  <c r="E34" i="10"/>
  <c r="A93" i="11" l="1"/>
  <c r="N93" i="11"/>
  <c r="I93" i="11"/>
  <c r="H93" i="11"/>
  <c r="E93" i="11"/>
  <c r="L93" i="11"/>
  <c r="K93" i="11"/>
  <c r="O93" i="11"/>
  <c r="M93" i="11"/>
  <c r="D93" i="11"/>
  <c r="J93" i="11"/>
  <c r="P93" i="11"/>
  <c r="G93" i="11"/>
  <c r="E65" i="9"/>
  <c r="F65" i="9"/>
  <c r="O65" i="9" s="1"/>
  <c r="N64" i="9"/>
  <c r="R64" i="9" s="1"/>
  <c r="S64" i="9" s="1"/>
  <c r="E34" i="9"/>
  <c r="J42" i="9"/>
  <c r="T42" i="9" s="1"/>
  <c r="G65" i="9" l="1"/>
  <c r="N65" i="9"/>
  <c r="R65" i="9" s="1"/>
  <c r="S65" i="9" s="1"/>
  <c r="P64" i="9"/>
  <c r="K42" i="10"/>
  <c r="J42" i="10"/>
  <c r="J34" i="9"/>
  <c r="K34" i="10" l="1"/>
  <c r="I7" i="10" s="1"/>
  <c r="U42" i="10"/>
  <c r="U44" i="10" s="1"/>
  <c r="T45" i="9"/>
  <c r="T46" i="9" s="1"/>
  <c r="T47" i="9" s="1"/>
  <c r="T48" i="9" s="1"/>
  <c r="T49" i="9" s="1"/>
  <c r="T50" i="9" s="1"/>
  <c r="T51" i="9" s="1"/>
  <c r="T52" i="9" s="1"/>
  <c r="T53" i="9" s="1"/>
  <c r="T54" i="9" s="1"/>
  <c r="T55" i="9" s="1"/>
  <c r="T56" i="9" s="1"/>
  <c r="T57" i="9" s="1"/>
  <c r="T58" i="9" s="1"/>
  <c r="T59" i="9" s="1"/>
  <c r="T60" i="9" s="1"/>
  <c r="T61" i="9" s="1"/>
  <c r="T62" i="9" s="1"/>
  <c r="T63" i="9" s="1"/>
  <c r="T64" i="9" s="1"/>
  <c r="T65" i="9" s="1"/>
  <c r="P65" i="9"/>
  <c r="F66" i="9"/>
  <c r="O66" i="9" s="1"/>
  <c r="E66" i="9"/>
  <c r="N66" i="9" l="1"/>
  <c r="I5" i="9" a="1"/>
  <c r="I5" i="9" s="1"/>
  <c r="G66" i="9"/>
  <c r="F67" i="9" s="1"/>
  <c r="O67" i="9" s="1"/>
  <c r="E67" i="9"/>
  <c r="R66" i="9"/>
  <c r="S66" i="9" s="1"/>
  <c r="P66" i="9"/>
  <c r="N67" i="9" l="1"/>
  <c r="P67" i="9" s="1"/>
  <c r="T66" i="9"/>
  <c r="R67" i="9"/>
  <c r="S67" i="9" s="1"/>
  <c r="G67" i="9"/>
  <c r="F68" i="9" s="1"/>
  <c r="O68" i="9" s="1"/>
  <c r="I9" i="10" l="1" a="1"/>
  <c r="I9" i="10" s="1"/>
  <c r="T67" i="9"/>
  <c r="E68" i="9"/>
  <c r="G68" i="9"/>
  <c r="E69" i="9" l="1"/>
  <c r="F69" i="9"/>
  <c r="O69" i="9" s="1"/>
  <c r="N68" i="9"/>
  <c r="N69" i="9" l="1"/>
  <c r="R69" i="9"/>
  <c r="G69" i="9"/>
  <c r="R68" i="9"/>
  <c r="P68" i="9"/>
  <c r="P69" i="9" s="1"/>
  <c r="F70" i="9" l="1"/>
  <c r="O70" i="9" s="1"/>
  <c r="E70" i="9"/>
  <c r="N70" i="9" s="1"/>
  <c r="S68" i="9"/>
  <c r="S69" i="9" s="1"/>
  <c r="T68" i="9"/>
  <c r="T69" i="9" s="1"/>
  <c r="R70" i="9" l="1"/>
  <c r="S70" i="9" s="1"/>
  <c r="G70" i="9"/>
  <c r="P70" i="9"/>
  <c r="F71" i="9" l="1"/>
  <c r="O71" i="9" s="1"/>
  <c r="E71" i="9"/>
  <c r="N71" i="9" s="1"/>
  <c r="T70" i="9"/>
  <c r="P71" i="9" l="1"/>
  <c r="G71" i="9"/>
  <c r="R71" i="9"/>
  <c r="S71" i="9" s="1"/>
  <c r="E72" i="9" l="1"/>
  <c r="F72" i="9"/>
  <c r="O72" i="9" s="1"/>
  <c r="T71" i="9"/>
  <c r="G72" i="9" l="1"/>
  <c r="F73" i="9" s="1"/>
  <c r="O73" i="9" s="1"/>
  <c r="E73" i="9"/>
  <c r="N73" i="9" s="1"/>
  <c r="G73" i="9"/>
  <c r="N72" i="9"/>
  <c r="R72" i="9" s="1"/>
  <c r="F74" i="9" l="1"/>
  <c r="O74" i="9" s="1"/>
  <c r="E74" i="9"/>
  <c r="N74" i="9" s="1"/>
  <c r="G74" i="9"/>
  <c r="R73" i="9"/>
  <c r="S72" i="9"/>
  <c r="S73" i="9" s="1"/>
  <c r="T72" i="9"/>
  <c r="T73" i="9" s="1"/>
  <c r="P72" i="9"/>
  <c r="P73" i="9" s="1"/>
  <c r="P74" i="9" s="1"/>
  <c r="E75" i="9" l="1"/>
  <c r="G75" i="9" s="1"/>
  <c r="F75" i="9"/>
  <c r="O75" i="9" s="1"/>
  <c r="R74" i="9"/>
  <c r="S74" i="9" s="1"/>
  <c r="E76" i="9" l="1"/>
  <c r="F76" i="9"/>
  <c r="O76" i="9" s="1"/>
  <c r="G76" i="9"/>
  <c r="T74" i="9"/>
  <c r="N75" i="9"/>
  <c r="R75" i="9" s="1"/>
  <c r="S75" i="9" s="1"/>
  <c r="T75" i="9" l="1"/>
  <c r="P75" i="9"/>
  <c r="F77" i="9"/>
  <c r="O77" i="9" s="1"/>
  <c r="E77" i="9"/>
  <c r="N77" i="9" s="1"/>
  <c r="N76" i="9"/>
  <c r="R76" i="9" s="1"/>
  <c r="S76" i="9" s="1"/>
  <c r="P76" i="9" l="1"/>
  <c r="P77" i="9" s="1"/>
  <c r="T76" i="9"/>
  <c r="R77" i="9"/>
  <c r="S77" i="9" s="1"/>
  <c r="G77" i="9"/>
  <c r="T77" i="9" l="1"/>
  <c r="F78" i="9"/>
  <c r="O78" i="9" s="1"/>
  <c r="E78" i="9"/>
  <c r="N78" i="9" s="1"/>
  <c r="G78" i="9" l="1"/>
  <c r="R78" i="9"/>
  <c r="S78" i="9" s="1"/>
  <c r="P78" i="9"/>
  <c r="T78" i="9" l="1"/>
  <c r="E79" i="9"/>
  <c r="F79" i="9"/>
  <c r="O79" i="9" s="1"/>
  <c r="N79" i="9" l="1"/>
  <c r="R79" i="9" s="1"/>
  <c r="G79" i="9"/>
  <c r="P79" i="9"/>
  <c r="S79" i="9" l="1"/>
  <c r="T79" i="9"/>
  <c r="F80" i="9"/>
  <c r="O80" i="9" s="1"/>
  <c r="R80" i="9" s="1"/>
  <c r="E80" i="9"/>
  <c r="N80" i="9" s="1"/>
  <c r="P80" i="9" l="1"/>
  <c r="T80" i="9"/>
  <c r="G80" i="9"/>
  <c r="S80" i="9"/>
  <c r="F81" i="9" l="1"/>
  <c r="O81" i="9" s="1"/>
  <c r="E81" i="9"/>
  <c r="N81" i="9" s="1"/>
  <c r="G81" i="9"/>
  <c r="P81" i="9"/>
  <c r="E82" i="9" l="1"/>
  <c r="F82" i="9"/>
  <c r="O82" i="9" s="1"/>
  <c r="R81" i="9"/>
  <c r="I3" i="9" l="1"/>
  <c r="S81" i="9"/>
  <c r="T81" i="9"/>
  <c r="G82" i="9"/>
  <c r="N82" i="9"/>
  <c r="R82" i="9" s="1"/>
  <c r="S82" i="9" l="1"/>
  <c r="P82" i="9"/>
  <c r="E83" i="9"/>
  <c r="G83" i="9" s="1"/>
  <c r="E29" i="9" s="1"/>
  <c r="T82" i="9"/>
  <c r="N83" i="9" l="1"/>
  <c r="R83" i="9" l="1"/>
  <c r="T83" i="9" s="1"/>
  <c r="I4" i="9"/>
  <c r="S83" i="9"/>
  <c r="P83" i="9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<sst xmlns="http://schemas.openxmlformats.org/spreadsheetml/2006/main" count="214" uniqueCount="78">
  <si>
    <t>Investment (€)</t>
  </si>
  <si>
    <t>Laufzeit  (Jahre)</t>
  </si>
  <si>
    <t>Gesamtverbrauch Strom (kWh)</t>
  </si>
  <si>
    <t>Kapitalwert</t>
  </si>
  <si>
    <t>Datum</t>
  </si>
  <si>
    <t>Strompreis</t>
  </si>
  <si>
    <t>Inbetriebnahme</t>
  </si>
  <si>
    <t>Strompreis pro kWh (€)</t>
  </si>
  <si>
    <t>PARAMETER</t>
  </si>
  <si>
    <t>BERECHNUNGEN</t>
  </si>
  <si>
    <t>Barwert</t>
  </si>
  <si>
    <t>Jährliche Ersparnis (kWh)</t>
  </si>
  <si>
    <t>Verlauf Kapitalwert</t>
  </si>
  <si>
    <t>ERGEBNIS</t>
  </si>
  <si>
    <t>Investment 1</t>
  </si>
  <si>
    <t>Investment (Datum)</t>
  </si>
  <si>
    <t>Investment 2</t>
  </si>
  <si>
    <t>Investment 3</t>
  </si>
  <si>
    <t>Investment 4</t>
  </si>
  <si>
    <t>Jährliche Betriebskosten</t>
  </si>
  <si>
    <t>INVESTITIONSPHASE</t>
  </si>
  <si>
    <t>BETRIEBSPHASE</t>
  </si>
  <si>
    <t>Diskontierungszinssatz</t>
  </si>
  <si>
    <t>Erhöhungsrate  Strompreis p.a. (%)</t>
  </si>
  <si>
    <t xml:space="preserve">Allgemeine Inflationsrate </t>
  </si>
  <si>
    <t>Investitionsrentabilität / ROI</t>
  </si>
  <si>
    <t>Hilfsvariablen</t>
  </si>
  <si>
    <t>Kumulierter Cashflow</t>
  </si>
  <si>
    <t>Ersparnis/         Einnahmen p.a.</t>
  </si>
  <si>
    <t>Opportunitätskosten</t>
  </si>
  <si>
    <t>Anteil / # Jahr</t>
  </si>
  <si>
    <t>Amortisation</t>
  </si>
  <si>
    <t>Inbetriebnahmedatum 1.1. Ja/Nein</t>
  </si>
  <si>
    <t>???</t>
  </si>
  <si>
    <t>Eigenkapital</t>
  </si>
  <si>
    <t>Fremdkapital</t>
  </si>
  <si>
    <t>Tilgung</t>
  </si>
  <si>
    <t>Zins</t>
  </si>
  <si>
    <t>Kreditsumme / Restschuld</t>
  </si>
  <si>
    <t>Investment 5</t>
  </si>
  <si>
    <t>Zinssatz Darlehen</t>
  </si>
  <si>
    <t>Tilgung Darlehren p.a.</t>
  </si>
  <si>
    <t>Betriebskosten  p.a</t>
  </si>
  <si>
    <t>Invest</t>
  </si>
  <si>
    <t>pos. Steuereffekt durch lineare Abschreibung</t>
  </si>
  <si>
    <t>pos. Steuereffekt durch degressive Abschreibung</t>
  </si>
  <si>
    <t>Degressiver Abschreibungssatz</t>
  </si>
  <si>
    <t>Restbuchwert</t>
  </si>
  <si>
    <t>Steuerersparnis</t>
  </si>
  <si>
    <t>Steuerersparnis lin. Abschreibung (Abschreibung x Steuersatz)</t>
  </si>
  <si>
    <t>Steuerersparnis deg. Abschreibung (Abschreibung x Steuersatz)</t>
  </si>
  <si>
    <t>Gewerbestuersatz</t>
  </si>
  <si>
    <t>Körperschaftssteuer</t>
  </si>
  <si>
    <t>Steuer insgesamt</t>
  </si>
  <si>
    <t>Abzinsfaktor (für den jeweiligen Zeitpunkt)</t>
  </si>
  <si>
    <t>Barwert pro Jahr/ Zeiteinheit</t>
  </si>
  <si>
    <t>Investments aus Eigenkapital</t>
  </si>
  <si>
    <t xml:space="preserve">Investments </t>
  </si>
  <si>
    <t>Kapitalwert der Investition nach 20 Jahren Betriebsphase</t>
  </si>
  <si>
    <t>Cashflowwirksame Ausgaben</t>
  </si>
  <si>
    <t xml:space="preserve">Cashflowwirksame Einnahmen </t>
  </si>
  <si>
    <t>Cashflowwirksame Einnahmen</t>
  </si>
  <si>
    <t xml:space="preserve">Cashflowwirksame Ausgaben </t>
  </si>
  <si>
    <t>Cashflowwirksame Ausgaben p.a.</t>
  </si>
  <si>
    <t>Cashflowwirksame Einnahmen p.a.</t>
  </si>
  <si>
    <t>Kreditfinanzierter Anteil am Investment</t>
  </si>
  <si>
    <t>Eigenkapitalfinanzierter Anteil am Investment</t>
  </si>
  <si>
    <t>Schlussrate</t>
  </si>
  <si>
    <t>Abstand zu IBN</t>
  </si>
  <si>
    <t>Jährliche Betriebskosten (€)</t>
  </si>
  <si>
    <t>Gewerbesteuersatz</t>
  </si>
  <si>
    <t>Jährliche Einsparung (kWh)</t>
  </si>
  <si>
    <t>Laufzeit  (Jahre) (max: 50)</t>
  </si>
  <si>
    <t>Laufzeit  (Jahre) (max. 50)</t>
  </si>
  <si>
    <t>Inbetriebnahme (IBN)</t>
  </si>
  <si>
    <t xml:space="preserve">Betriebskosten  p.a
</t>
  </si>
  <si>
    <t xml:space="preserve">Strompreis
</t>
  </si>
  <si>
    <t xml:space="preserve"> Inbetriebnahmedatum 1.1. Ja/Nein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</si>
</sst>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\ &quot;€&quot;;[Red]\-#,##0\ &quot;€&quot;"/>
    <numFmt numFmtId="165" formatCode="#,##0.00\ &quot;€&quot;;[Red]\-#,##0.00\ &quot;€&quot;"/>
    <numFmt numFmtId="166" formatCode="_-* #,##0.00\ &quot;€&quot;_-;\-* #,##0.00\ &quot;€&quot;_-;_-* &quot;-&quot;??\ &quot;€&quot;_-;_-@_-"/>
    <numFmt numFmtId="167" formatCode="#,##0.00\ &quot;€&quot;"/>
    <numFmt numFmtId="168" formatCode="#,##0.0000\ &quot;€&quot;;[Red]\-#,##0.0000\ &quot;€&quot;"/>
    <numFmt numFmtId="169" formatCode="#,##0\ &quot;€&quot;"/>
    <numFmt numFmtId="170" formatCode="0.0"/>
    <numFmt numFmtId="171" formatCode="0.00000"/>
    <numFmt numFmtId="172" formatCode="#,##0\ _€;[Red]\-#,##0\ _€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trike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i/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133">
    <xf numFmtId="0" fontId="0" fillId="0" borderId="0" xfId="0"/>
    <xf numFmtId="9" fontId="0" fillId="0" borderId="0" xfId="0" applyNumberForma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/>
    <xf numFmtId="167" fontId="0" fillId="3" borderId="1" xfId="0" applyNumberForma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3" fontId="0" fillId="6" borderId="1" xfId="0" applyNumberFormat="1" applyFill="1" applyBorder="1"/>
    <xf numFmtId="165" fontId="0" fillId="6" borderId="1" xfId="0" applyNumberFormat="1" applyFill="1" applyBorder="1"/>
    <xf numFmtId="14" fontId="0" fillId="6" borderId="1" xfId="0" applyNumberFormat="1" applyFill="1" applyBorder="1"/>
    <xf numFmtId="169" fontId="0" fillId="6" borderId="1" xfId="0" applyNumberFormat="1" applyFill="1" applyBorder="1"/>
    <xf numFmtId="171" fontId="0" fillId="3" borderId="1" xfId="0" applyNumberFormat="1" applyFill="1" applyBorder="1" applyAlignment="1">
      <alignment horizontal="center" vertical="center"/>
    </xf>
    <xf numFmtId="169" fontId="0" fillId="3" borderId="1" xfId="0" applyNumberFormat="1" applyFill="1" applyBorder="1" applyAlignment="1">
      <alignment horizontal="center"/>
    </xf>
    <xf numFmtId="169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wrapText="1" shrinkToFit="1"/>
    </xf>
    <xf numFmtId="0" fontId="2" fillId="0" borderId="0" xfId="0" applyFont="1"/>
    <xf numFmtId="169" fontId="2" fillId="0" borderId="0" xfId="0" applyNumberFormat="1" applyFont="1"/>
    <xf numFmtId="164" fontId="2" fillId="0" borderId="0" xfId="0" applyNumberFormat="1" applyFont="1"/>
    <xf numFmtId="164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wrapText="1" shrinkToFit="1"/>
    </xf>
    <xf numFmtId="0" fontId="0" fillId="0" borderId="0" xfId="0" applyAlignment="1">
      <alignment horizontal="left"/>
    </xf>
    <xf numFmtId="14" fontId="0" fillId="3" borderId="1" xfId="0" applyNumberFormat="1" applyFill="1" applyBorder="1" applyAlignment="1">
      <alignment horizontal="center"/>
    </xf>
    <xf numFmtId="168" fontId="0" fillId="3" borderId="1" xfId="0" applyNumberFormat="1" applyFill="1" applyBorder="1" applyAlignment="1">
      <alignment horizontal="center"/>
    </xf>
    <xf numFmtId="170" fontId="0" fillId="3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169" fontId="1" fillId="3" borderId="1" xfId="0" applyNumberFormat="1" applyFont="1" applyFill="1" applyBorder="1" applyAlignment="1">
      <alignment horizontal="center"/>
    </xf>
    <xf numFmtId="14" fontId="0" fillId="0" borderId="0" xfId="0" applyNumberFormat="1"/>
    <xf numFmtId="0" fontId="1" fillId="0" borderId="0" xfId="0" applyFont="1" applyAlignment="1">
      <alignment horizontal="center" vertical="top"/>
    </xf>
    <xf numFmtId="0" fontId="1" fillId="7" borderId="1" xfId="0" applyFont="1" applyFill="1" applyBorder="1"/>
    <xf numFmtId="0" fontId="1" fillId="0" borderId="4" xfId="0" applyFont="1" applyBorder="1"/>
    <xf numFmtId="172" fontId="0" fillId="3" borderId="1" xfId="0" applyNumberFormat="1" applyFill="1" applyBorder="1" applyAlignment="1">
      <alignment horizontal="center"/>
    </xf>
    <xf numFmtId="172" fontId="1" fillId="0" borderId="4" xfId="0" applyNumberFormat="1" applyFont="1" applyBorder="1"/>
    <xf numFmtId="10" fontId="0" fillId="6" borderId="1" xfId="0" applyNumberFormat="1" applyFill="1" applyBorder="1"/>
    <xf numFmtId="0" fontId="4" fillId="0" borderId="0" xfId="0" applyFont="1"/>
    <xf numFmtId="0" fontId="0" fillId="0" borderId="4" xfId="0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4" fontId="1" fillId="6" borderId="1" xfId="0" applyNumberFormat="1" applyFont="1" applyFill="1" applyBorder="1"/>
    <xf numFmtId="0" fontId="6" fillId="0" borderId="0" xfId="0" applyFont="1" applyAlignment="1">
      <alignment horizontal="center"/>
    </xf>
    <xf numFmtId="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 wrapText="1" shrinkToFit="1"/>
    </xf>
    <xf numFmtId="0" fontId="4" fillId="8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169" fontId="0" fillId="0" borderId="0" xfId="0" applyNumberFormat="1"/>
    <xf numFmtId="164" fontId="0" fillId="3" borderId="1" xfId="0" applyNumberFormat="1" applyFill="1" applyBorder="1" applyAlignment="1">
      <alignment horizontal="center"/>
    </xf>
    <xf numFmtId="2" fontId="0" fillId="8" borderId="1" xfId="0" applyNumberFormat="1" applyFill="1" applyBorder="1" applyAlignment="1">
      <alignment horizontal="center" vertical="center"/>
    </xf>
    <xf numFmtId="170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/>
    </xf>
    <xf numFmtId="169" fontId="0" fillId="8" borderId="1" xfId="0" applyNumberFormat="1" applyFill="1" applyBorder="1" applyAlignment="1">
      <alignment horizontal="center"/>
    </xf>
    <xf numFmtId="169" fontId="1" fillId="8" borderId="1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wrapText="1"/>
    </xf>
    <xf numFmtId="169" fontId="1" fillId="9" borderId="1" xfId="0" applyNumberFormat="1" applyFont="1" applyFill="1" applyBorder="1" applyAlignment="1">
      <alignment horizontal="center"/>
    </xf>
    <xf numFmtId="169" fontId="0" fillId="9" borderId="1" xfId="0" applyNumberFormat="1" applyFill="1" applyBorder="1" applyAlignment="1">
      <alignment horizontal="center"/>
    </xf>
    <xf numFmtId="0" fontId="1" fillId="5" borderId="1" xfId="0" applyFont="1" applyFill="1" applyBorder="1" applyAlignment="1">
      <alignment horizontal="center" wrapText="1"/>
    </xf>
    <xf numFmtId="169" fontId="1" fillId="5" borderId="1" xfId="0" applyNumberFormat="1" applyFont="1" applyFill="1" applyBorder="1" applyAlignment="1">
      <alignment horizontal="center"/>
    </xf>
    <xf numFmtId="169" fontId="0" fillId="5" borderId="1" xfId="0" applyNumberFormat="1" applyFill="1" applyBorder="1" applyAlignment="1">
      <alignment horizontal="center"/>
    </xf>
    <xf numFmtId="9" fontId="0" fillId="6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right"/>
    </xf>
    <xf numFmtId="10" fontId="0" fillId="6" borderId="1" xfId="0" applyNumberFormat="1" applyFill="1" applyBorder="1" applyAlignment="1">
      <alignment horizontal="right"/>
    </xf>
    <xf numFmtId="0" fontId="1" fillId="10" borderId="1" xfId="0" applyFont="1" applyFill="1" applyBorder="1" applyAlignment="1">
      <alignment horizontal="center" wrapText="1"/>
    </xf>
    <xf numFmtId="169" fontId="1" fillId="10" borderId="1" xfId="0" applyNumberFormat="1" applyFont="1" applyFill="1" applyBorder="1" applyAlignment="1">
      <alignment horizontal="center"/>
    </xf>
    <xf numFmtId="169" fontId="0" fillId="10" borderId="1" xfId="0" applyNumberFormat="1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1" fillId="11" borderId="0" xfId="0" applyFont="1" applyFill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/>
    <xf numFmtId="169" fontId="0" fillId="0" borderId="0" xfId="0" applyNumberFormat="1" applyAlignment="1">
      <alignment horizontal="center"/>
    </xf>
    <xf numFmtId="0" fontId="5" fillId="0" borderId="0" xfId="0" applyFont="1" applyAlignment="1">
      <alignment horizontal="center"/>
    </xf>
    <xf numFmtId="9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0" fontId="0" fillId="0" borderId="0" xfId="0" applyNumberFormat="1"/>
    <xf numFmtId="164" fontId="0" fillId="5" borderId="1" xfId="0" applyNumberFormat="1" applyFill="1" applyBorder="1" applyAlignment="1">
      <alignment horizontal="center" vertical="center"/>
    </xf>
    <xf numFmtId="169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9" fontId="0" fillId="6" borderId="1" xfId="0" applyNumberFormat="1" applyFill="1" applyBorder="1" applyAlignment="1">
      <alignment horizontal="center"/>
    </xf>
    <xf numFmtId="0" fontId="0" fillId="6" borderId="1" xfId="0" applyFill="1" applyBorder="1"/>
    <xf numFmtId="0" fontId="1" fillId="7" borderId="4" xfId="0" applyFont="1" applyFill="1" applyBorder="1"/>
    <xf numFmtId="0" fontId="1" fillId="7" borderId="3" xfId="0" applyFont="1" applyFill="1" applyBorder="1"/>
    <xf numFmtId="167" fontId="0" fillId="9" borderId="1" xfId="0" applyNumberFormat="1" applyFill="1" applyBorder="1" applyAlignment="1">
      <alignment horizontal="center"/>
    </xf>
    <xf numFmtId="2" fontId="0" fillId="9" borderId="1" xfId="0" applyNumberFormat="1" applyFill="1" applyBorder="1" applyAlignment="1">
      <alignment horizontal="center"/>
    </xf>
    <xf numFmtId="2" fontId="0" fillId="10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167" fontId="1" fillId="9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7" fontId="0" fillId="3" borderId="1" xfId="0" applyNumberFormat="1" applyFill="1" applyBorder="1" applyAlignment="1">
      <alignment horizontal="center"/>
    </xf>
    <xf numFmtId="169" fontId="0" fillId="6" borderId="8" xfId="0" applyNumberFormat="1" applyFill="1" applyBorder="1"/>
    <xf numFmtId="14" fontId="0" fillId="6" borderId="8" xfId="0" applyNumberFormat="1" applyFill="1" applyBorder="1"/>
    <xf numFmtId="0" fontId="0" fillId="8" borderId="1" xfId="1" applyNumberFormat="1" applyFont="1" applyFill="1" applyBorder="1" applyAlignment="1">
      <alignment horizontal="center" vertical="center"/>
    </xf>
    <xf numFmtId="9" fontId="0" fillId="6" borderId="1" xfId="1" applyFont="1" applyFill="1" applyBorder="1"/>
    <xf numFmtId="10" fontId="0" fillId="6" borderId="1" xfId="1" applyNumberFormat="1" applyFont="1" applyFill="1" applyBorder="1" applyAlignment="1">
      <alignment horizontal="right"/>
    </xf>
    <xf numFmtId="166" fontId="0" fillId="0" borderId="0" xfId="2" applyFont="1"/>
    <xf numFmtId="0" fontId="9" fillId="0" borderId="0" xfId="0" applyFont="1"/>
    <xf numFmtId="169" fontId="0" fillId="12" borderId="1" xfId="0" applyNumberFormat="1" applyFill="1" applyBorder="1" applyAlignment="1">
      <alignment horizontal="center"/>
    </xf>
    <xf numFmtId="9" fontId="0" fillId="12" borderId="1" xfId="0" applyNumberFormat="1" applyFill="1" applyBorder="1" applyAlignment="1">
      <alignment horizontal="center"/>
    </xf>
    <xf numFmtId="1" fontId="0" fillId="12" borderId="1" xfId="0" applyNumberFormat="1" applyFill="1" applyBorder="1" applyAlignment="1">
      <alignment horizontal="center"/>
    </xf>
    <xf numFmtId="0" fontId="10" fillId="0" borderId="0" xfId="0" applyFont="1"/>
    <xf numFmtId="169" fontId="0" fillId="13" borderId="1" xfId="0" applyNumberFormat="1" applyFill="1" applyBorder="1" applyAlignment="1">
      <alignment horizontal="center"/>
    </xf>
    <xf numFmtId="9" fontId="0" fillId="13" borderId="1" xfId="0" applyNumberFormat="1" applyFill="1" applyBorder="1" applyAlignment="1">
      <alignment horizontal="center"/>
    </xf>
    <xf numFmtId="1" fontId="0" fillId="13" borderId="1" xfId="0" applyNumberFormat="1" applyFill="1" applyBorder="1" applyAlignment="1">
      <alignment horizontal="center"/>
    </xf>
    <xf numFmtId="0" fontId="11" fillId="0" borderId="0" xfId="0" applyFont="1" applyAlignment="1">
      <alignment horizontal="center"/>
    </xf>
    <xf numFmtId="167" fontId="12" fillId="3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 vertical="top"/>
    </xf>
    <xf numFmtId="0" fontId="1" fillId="7" borderId="3" xfId="0" applyFont="1" applyFill="1" applyBorder="1" applyAlignment="1">
      <alignment horizontal="center" vertical="top"/>
    </xf>
    <xf numFmtId="0" fontId="1" fillId="7" borderId="4" xfId="0" applyFont="1" applyFill="1" applyBorder="1" applyAlignment="1">
      <alignment horizontal="center" vertical="top"/>
    </xf>
    <xf numFmtId="0" fontId="1" fillId="7" borderId="2" xfId="0" applyFont="1" applyFill="1" applyBorder="1" applyAlignment="1">
      <alignment horizontal="center" vertical="top" wrapText="1"/>
    </xf>
    <xf numFmtId="0" fontId="1" fillId="7" borderId="3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1" fillId="0" borderId="4" xfId="0" applyFont="1" applyBorder="1" applyAlignment="1">
      <alignment horizontal="center"/>
    </xf>
    <xf numFmtId="0" fontId="1" fillId="7" borderId="5" xfId="0" applyFont="1" applyFill="1" applyBorder="1" applyAlignment="1">
      <alignment horizontal="center" vertical="top"/>
    </xf>
    <xf numFmtId="0" fontId="1" fillId="7" borderId="6" xfId="0" applyFont="1" applyFill="1" applyBorder="1" applyAlignment="1">
      <alignment horizontal="center" vertical="top"/>
    </xf>
    <xf numFmtId="0" fontId="1" fillId="7" borderId="7" xfId="0" applyFont="1" applyFill="1" applyBorder="1" applyAlignment="1">
      <alignment horizontal="center" vertical="top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2" borderId="8" xfId="0" applyFill="1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9" xfId="0" applyFont="1" applyBorder="1" applyAlignment="1">
      <alignment horizontal="center" vertical="top"/>
    </xf>
    <xf numFmtId="0" fontId="1" fillId="0" borderId="4" xfId="0" applyFont="1" applyBorder="1" applyAlignment="1">
      <alignment horizontal="left"/>
    </xf>
  </cellXfs>
  <cellStyles count="3">
    <cellStyle name="Prozent" xfId="1" builtinId="5"/>
    <cellStyle name="Standard" xfId="0" builtinId="0"/>
    <cellStyle name="Währung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1EAD6-972A-470D-8164-C422E4246D9C}">
  <dimension ref="B1:Y93"/>
  <sheetViews>
    <sheetView tabSelected="1" topLeftCell="A61" zoomScale="29" zoomScaleNormal="70" workbookViewId="0">
      <selection activeCell="E119" sqref="E119"/>
    </sheetView>
  </sheetViews>
  <sheetFormatPr baseColWidth="10" defaultColWidth="8.6640625" defaultRowHeight="14.4" x14ac:dyDescent="0.3"/>
  <cols>
    <col min="1" max="1" width="1.21875" customWidth="1"/>
    <col min="2" max="20" width="20.6640625" customWidth="1"/>
    <col min="21" max="21" width="19.33203125" customWidth="1"/>
    <col min="22" max="22" width="12.109375" bestFit="1" customWidth="1"/>
    <col min="23" max="23" width="14.33203125" customWidth="1"/>
  </cols>
  <sheetData>
    <row r="1" spans="2:12" ht="7.5" customHeight="1" x14ac:dyDescent="0.3"/>
    <row r="2" spans="2:12" x14ac:dyDescent="0.3">
      <c r="B2" s="109" t="s">
        <v>8</v>
      </c>
      <c r="C2" s="111"/>
      <c r="D2" s="111"/>
      <c r="E2" s="110"/>
      <c r="G2" s="109" t="s">
        <v>13</v>
      </c>
      <c r="H2" s="110"/>
      <c r="I2" s="28"/>
    </row>
    <row r="3" spans="2:12" ht="39.6" customHeight="1" x14ac:dyDescent="0.3">
      <c r="D3" s="112" t="s">
        <v>66</v>
      </c>
      <c r="E3" s="113"/>
      <c r="F3" s="28"/>
      <c r="G3" s="108" t="s">
        <v>3</v>
      </c>
      <c r="H3" s="108"/>
      <c r="I3" s="98">
        <f>NPV(D17,O44:O93)-J34-D34</f>
        <v>94843.675110973272</v>
      </c>
    </row>
    <row r="4" spans="2:12" x14ac:dyDescent="0.3">
      <c r="B4" s="107"/>
      <c r="C4" s="107"/>
      <c r="D4" s="4" t="s">
        <v>0</v>
      </c>
      <c r="E4" s="4" t="s">
        <v>15</v>
      </c>
      <c r="F4" s="21"/>
      <c r="G4" s="108" t="s">
        <v>25</v>
      </c>
      <c r="H4" s="108"/>
      <c r="I4" s="99">
        <f>(((_xlfn.XLOOKUP(D15,C44:C93,P44:P93)-D34))/SUM(N44:N93))/D15</f>
        <v>5.2219710746872941E-2</v>
      </c>
    </row>
    <row r="5" spans="2:12" x14ac:dyDescent="0.3">
      <c r="B5" s="107" t="s">
        <v>14</v>
      </c>
      <c r="C5" s="107"/>
      <c r="D5" s="11">
        <v>10000</v>
      </c>
      <c r="E5" s="10">
        <v>45627</v>
      </c>
      <c r="F5" s="21"/>
      <c r="G5" s="108" t="s">
        <v>31</v>
      </c>
      <c r="H5" s="108"/>
      <c r="I5" s="100" t="str" cm="1">
        <f t="array" ref="I5">_xlfn.IFNA(CONCATENATE("nach ",(INDEX(C44:C93,MATCH(1,(T44:T93&gt;0)*1,0)))," Jahren"),"NACH LAUFZEIT")</f>
        <v>nach 15 Jahren</v>
      </c>
    </row>
    <row r="6" spans="2:12" x14ac:dyDescent="0.3">
      <c r="B6" s="107" t="s">
        <v>16</v>
      </c>
      <c r="C6" s="107"/>
      <c r="D6" s="11">
        <v>10000</v>
      </c>
      <c r="E6" s="10">
        <v>45717</v>
      </c>
      <c r="F6" s="21"/>
      <c r="J6" s="28"/>
      <c r="K6" s="28"/>
    </row>
    <row r="7" spans="2:12" x14ac:dyDescent="0.3">
      <c r="B7" s="107" t="s">
        <v>17</v>
      </c>
      <c r="C7" s="107"/>
      <c r="D7" s="11">
        <v>10000</v>
      </c>
      <c r="E7" s="10">
        <v>45960</v>
      </c>
      <c r="F7" s="21"/>
      <c r="J7" s="71"/>
      <c r="K7" s="71"/>
      <c r="L7" s="72" t="s">
        <v>33</v>
      </c>
    </row>
    <row r="8" spans="2:12" x14ac:dyDescent="0.3">
      <c r="B8" s="107"/>
      <c r="C8" s="107"/>
      <c r="D8" s="11"/>
      <c r="E8" s="10"/>
      <c r="J8" s="73"/>
      <c r="K8" s="73"/>
    </row>
    <row r="9" spans="2:12" ht="38.4" customHeight="1" x14ac:dyDescent="0.3">
      <c r="B9" s="114"/>
      <c r="C9" s="115"/>
      <c r="D9" s="112" t="s">
        <v>65</v>
      </c>
      <c r="E9" s="113"/>
      <c r="J9" s="74"/>
      <c r="K9" s="74"/>
    </row>
    <row r="10" spans="2:12" x14ac:dyDescent="0.3">
      <c r="B10" s="114" t="s">
        <v>39</v>
      </c>
      <c r="C10" s="115"/>
      <c r="D10" s="11">
        <v>50000</v>
      </c>
      <c r="E10" s="10">
        <v>45657</v>
      </c>
    </row>
    <row r="11" spans="2:12" x14ac:dyDescent="0.3">
      <c r="B11" s="114" t="s">
        <v>40</v>
      </c>
      <c r="C11" s="115"/>
      <c r="D11" s="33">
        <v>0.05</v>
      </c>
      <c r="J11" s="34"/>
      <c r="K11" s="34"/>
    </row>
    <row r="12" spans="2:12" x14ac:dyDescent="0.3">
      <c r="B12" s="114" t="s">
        <v>41</v>
      </c>
      <c r="C12" s="115"/>
      <c r="D12" s="94">
        <v>0.08</v>
      </c>
    </row>
    <row r="13" spans="2:12" x14ac:dyDescent="0.3">
      <c r="B13" s="116"/>
      <c r="C13" s="116"/>
      <c r="D13" s="45"/>
    </row>
    <row r="14" spans="2:12" x14ac:dyDescent="0.3">
      <c r="B14" s="107" t="s">
        <v>74</v>
      </c>
      <c r="C14" s="107"/>
      <c r="D14" s="39">
        <v>45658</v>
      </c>
    </row>
    <row r="15" spans="2:12" x14ac:dyDescent="0.3">
      <c r="B15" s="107" t="s">
        <v>72</v>
      </c>
      <c r="C15" s="107"/>
      <c r="D15" s="8">
        <v>20</v>
      </c>
      <c r="L15" s="27"/>
    </row>
    <row r="16" spans="2:12" x14ac:dyDescent="0.3">
      <c r="B16" s="114" t="s">
        <v>69</v>
      </c>
      <c r="C16" s="115"/>
      <c r="D16" s="11">
        <v>1500</v>
      </c>
    </row>
    <row r="17" spans="2:25" x14ac:dyDescent="0.3">
      <c r="B17" s="107" t="s">
        <v>22</v>
      </c>
      <c r="C17" s="107"/>
      <c r="D17" s="33">
        <v>0.05</v>
      </c>
      <c r="I17" s="34"/>
      <c r="J17" s="34"/>
      <c r="K17" s="34"/>
    </row>
    <row r="18" spans="2:25" x14ac:dyDescent="0.3">
      <c r="B18" s="107" t="s">
        <v>2</v>
      </c>
      <c r="C18" s="107"/>
      <c r="D18" s="8">
        <v>1750000</v>
      </c>
    </row>
    <row r="19" spans="2:25" x14ac:dyDescent="0.3">
      <c r="B19" s="107" t="s">
        <v>71</v>
      </c>
      <c r="C19" s="107"/>
      <c r="D19" s="8">
        <v>80000</v>
      </c>
    </row>
    <row r="20" spans="2:25" x14ac:dyDescent="0.3">
      <c r="B20" s="107" t="s">
        <v>7</v>
      </c>
      <c r="C20" s="107"/>
      <c r="D20" s="9">
        <v>0.2</v>
      </c>
      <c r="L20" s="34"/>
    </row>
    <row r="21" spans="2:25" x14ac:dyDescent="0.3">
      <c r="B21" s="107" t="s">
        <v>23</v>
      </c>
      <c r="C21" s="107"/>
      <c r="D21" s="33">
        <v>0.03</v>
      </c>
    </row>
    <row r="22" spans="2:25" x14ac:dyDescent="0.3">
      <c r="B22" s="107" t="s">
        <v>24</v>
      </c>
      <c r="C22" s="107"/>
      <c r="D22" s="33">
        <v>0.02</v>
      </c>
    </row>
    <row r="23" spans="2:25" x14ac:dyDescent="0.3">
      <c r="B23" s="25" t="s">
        <v>46</v>
      </c>
      <c r="C23" s="25"/>
      <c r="D23" s="60">
        <v>0.2</v>
      </c>
      <c r="E23" s="21"/>
      <c r="F23" s="21"/>
      <c r="G23" s="21"/>
      <c r="H23" s="21"/>
      <c r="I23" s="21"/>
      <c r="J23" s="21"/>
      <c r="K23" s="21"/>
      <c r="L23" s="1"/>
      <c r="M23" s="20"/>
      <c r="N23" s="20"/>
      <c r="O23" s="20"/>
      <c r="P23" s="20"/>
    </row>
    <row r="24" spans="2:25" x14ac:dyDescent="0.3">
      <c r="B24" s="121" t="s">
        <v>70</v>
      </c>
      <c r="C24" s="122"/>
      <c r="D24" s="62">
        <v>0.17499999999999999</v>
      </c>
      <c r="E24" s="21"/>
      <c r="F24" s="21"/>
      <c r="G24" s="21"/>
      <c r="H24" s="21"/>
      <c r="I24" s="21"/>
      <c r="J24" s="21"/>
      <c r="K24" s="21"/>
      <c r="L24" s="1"/>
      <c r="M24" s="20"/>
      <c r="N24" s="20"/>
      <c r="O24" s="20"/>
      <c r="P24" s="20"/>
    </row>
    <row r="25" spans="2:25" x14ac:dyDescent="0.3">
      <c r="B25" s="121" t="s">
        <v>52</v>
      </c>
      <c r="C25" s="122"/>
      <c r="D25" s="62">
        <v>0.15825</v>
      </c>
      <c r="E25" s="21"/>
      <c r="F25" s="21"/>
      <c r="G25" s="21"/>
      <c r="H25" s="21"/>
      <c r="I25" s="21"/>
      <c r="J25" s="21"/>
      <c r="K25" s="21"/>
      <c r="L25" s="1"/>
      <c r="M25" s="20"/>
      <c r="N25" s="20"/>
      <c r="O25" s="20"/>
      <c r="P25" s="20"/>
    </row>
    <row r="26" spans="2:25" x14ac:dyDescent="0.3">
      <c r="B26" s="114" t="s">
        <v>53</v>
      </c>
      <c r="C26" s="115"/>
      <c r="D26" s="95">
        <f>D24+D25</f>
        <v>0.33324999999999999</v>
      </c>
      <c r="E26" s="21"/>
      <c r="F26" s="21"/>
      <c r="G26" s="21"/>
      <c r="H26" s="21"/>
      <c r="I26" s="21"/>
      <c r="J26" s="21"/>
      <c r="K26" s="21"/>
      <c r="L26" s="1"/>
      <c r="M26" s="20"/>
      <c r="N26" s="20"/>
      <c r="O26" s="20"/>
      <c r="P26" s="20"/>
    </row>
    <row r="27" spans="2:25" s="40" customFormat="1" ht="35.549999999999997" customHeight="1" x14ac:dyDescent="0.3">
      <c r="J27" s="42"/>
      <c r="L27" s="41"/>
      <c r="M27" s="42"/>
      <c r="N27" s="42"/>
      <c r="O27" s="42"/>
      <c r="P27" s="42"/>
      <c r="Q27" s="42"/>
      <c r="W27" s="69"/>
    </row>
    <row r="28" spans="2:25" s="40" customFormat="1" ht="35.549999999999997" customHeight="1" x14ac:dyDescent="0.3">
      <c r="B28" s="101" t="s">
        <v>26</v>
      </c>
      <c r="C28"/>
      <c r="D28" s="34"/>
      <c r="E28" s="97" t="s">
        <v>67</v>
      </c>
      <c r="J28" s="42"/>
      <c r="L28" s="41"/>
      <c r="M28" s="42"/>
      <c r="N28" s="42"/>
      <c r="O28" s="42"/>
      <c r="P28" s="42"/>
      <c r="Q28" s="42"/>
      <c r="W28" s="69"/>
    </row>
    <row r="29" spans="2:25" s="40" customFormat="1" ht="35.549999999999997" customHeight="1" x14ac:dyDescent="0.3">
      <c r="B29" s="43" t="str">
        <f>IF(AND(DAY(B44)=1,MONTH(B44)=1),"Ja","Nein")</f>
        <v>Ja</v>
      </c>
      <c r="C29" s="34" t="s">
        <v>32</v>
      </c>
      <c r="D29"/>
      <c r="E29" s="96">
        <f>_xlfn.XLOOKUP(D15,C44:C93,G44:G93)</f>
        <v>28030.636233337485</v>
      </c>
      <c r="J29" s="42"/>
      <c r="L29" s="41"/>
      <c r="M29" s="42"/>
      <c r="N29" s="42"/>
      <c r="O29" s="42"/>
      <c r="P29" s="42"/>
      <c r="Q29" s="42"/>
      <c r="W29" s="69"/>
    </row>
    <row r="30" spans="2:25" s="40" customFormat="1" ht="35.549999999999997" customHeight="1" x14ac:dyDescent="0.3">
      <c r="J30" s="42"/>
      <c r="L30" s="41"/>
      <c r="M30" s="42"/>
      <c r="N30" s="42"/>
      <c r="O30" s="42"/>
      <c r="P30" s="42"/>
      <c r="Q30" s="42"/>
      <c r="W30" s="69"/>
    </row>
    <row r="31" spans="2:25" x14ac:dyDescent="0.3">
      <c r="B31" s="117" t="s">
        <v>9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9"/>
      <c r="U31" s="70"/>
      <c r="V31" s="70"/>
      <c r="W31" s="70"/>
      <c r="X31" s="16"/>
      <c r="Y31" s="16"/>
    </row>
    <row r="32" spans="2:25" x14ac:dyDescent="0.3">
      <c r="B32" s="117" t="s">
        <v>34</v>
      </c>
      <c r="C32" s="118"/>
      <c r="D32" s="119"/>
      <c r="E32" s="118" t="s">
        <v>35</v>
      </c>
      <c r="F32" s="118"/>
      <c r="G32" s="119"/>
      <c r="H32" s="117" t="s">
        <v>48</v>
      </c>
      <c r="I32" s="118"/>
      <c r="J32" s="118"/>
      <c r="K32" s="119"/>
      <c r="L32" s="44"/>
      <c r="M32" s="29"/>
      <c r="N32" s="29"/>
      <c r="O32" s="29"/>
      <c r="P32" s="29"/>
      <c r="Q32" s="29"/>
      <c r="R32" s="29"/>
      <c r="S32" s="29"/>
      <c r="T32" s="29"/>
      <c r="U32" s="70"/>
      <c r="V32" s="70"/>
      <c r="W32" s="70"/>
      <c r="X32" s="16"/>
      <c r="Y32" s="16"/>
    </row>
    <row r="33" spans="2:22" ht="66.599999999999994" customHeight="1" x14ac:dyDescent="0.3">
      <c r="B33" s="36" t="s">
        <v>4</v>
      </c>
      <c r="C33" s="50" t="s">
        <v>68</v>
      </c>
      <c r="D33" s="50" t="s">
        <v>43</v>
      </c>
      <c r="E33" s="54" t="s">
        <v>37</v>
      </c>
      <c r="F33" s="54" t="s">
        <v>36</v>
      </c>
      <c r="G33" s="54" t="s">
        <v>38</v>
      </c>
      <c r="H33" s="63" t="s">
        <v>44</v>
      </c>
      <c r="I33" s="63" t="s">
        <v>49</v>
      </c>
      <c r="J33" s="36" t="s">
        <v>29</v>
      </c>
      <c r="K33" s="36" t="s">
        <v>75</v>
      </c>
      <c r="L33" s="36" t="s">
        <v>76</v>
      </c>
      <c r="M33" s="36" t="s">
        <v>28</v>
      </c>
      <c r="N33" s="36" t="s">
        <v>59</v>
      </c>
      <c r="O33" s="36" t="s">
        <v>60</v>
      </c>
      <c r="P33" s="36" t="s">
        <v>27</v>
      </c>
      <c r="Q33" s="36" t="s">
        <v>54</v>
      </c>
      <c r="R33" s="36" t="s">
        <v>55</v>
      </c>
      <c r="S33" s="36" t="s">
        <v>10</v>
      </c>
      <c r="T33" s="36" t="s">
        <v>12</v>
      </c>
      <c r="U33" s="16"/>
      <c r="V33" s="16"/>
    </row>
    <row r="34" spans="2:22" x14ac:dyDescent="0.3">
      <c r="B34" s="6"/>
      <c r="C34" s="51"/>
      <c r="D34" s="52">
        <f>SUM(D38:D41)</f>
        <v>30000</v>
      </c>
      <c r="E34" s="88">
        <f>SUM(E38:E64)</f>
        <v>39122.798047633863</v>
      </c>
      <c r="F34" s="88">
        <f>SUM(F38:F64)</f>
        <v>58584.970263611453</v>
      </c>
      <c r="G34" s="88">
        <f>D10</f>
        <v>50000</v>
      </c>
      <c r="H34" s="64"/>
      <c r="I34" s="64"/>
      <c r="J34" s="89">
        <f>SUM(J38:J42)</f>
        <v>88152.289536969096</v>
      </c>
      <c r="K34" s="13" t="str">
        <f>_xlfn.CONCAT(D16,"€   (",D22*100,"%)")</f>
        <v>1500€   (2%)</v>
      </c>
      <c r="L34" s="13" t="str">
        <f>_xlfn.CONCAT(D20,"€   (",D21*100,"%)")</f>
        <v>0,2€   (3%)</v>
      </c>
      <c r="M34" s="6"/>
      <c r="N34" s="6"/>
      <c r="O34" s="6"/>
      <c r="P34" s="6"/>
      <c r="Q34" s="6"/>
      <c r="R34" s="6"/>
      <c r="S34" s="6"/>
      <c r="T34" s="19"/>
      <c r="U34" s="16"/>
      <c r="V34" s="16"/>
    </row>
    <row r="35" spans="2:22" ht="14.55" customHeight="1" x14ac:dyDescent="0.3">
      <c r="B35" s="6"/>
      <c r="C35" s="51"/>
      <c r="D35" s="53"/>
      <c r="E35" s="55"/>
      <c r="F35" s="55"/>
      <c r="G35" s="55"/>
      <c r="H35" s="64"/>
      <c r="I35" s="64"/>
      <c r="J35" s="26"/>
      <c r="K35" s="13"/>
      <c r="L35" s="23"/>
      <c r="M35" s="6"/>
      <c r="N35" s="6"/>
      <c r="O35" s="6"/>
      <c r="P35" s="6"/>
      <c r="Q35" s="6"/>
      <c r="R35" s="6"/>
      <c r="S35" s="6"/>
      <c r="T35" s="6"/>
      <c r="U35" s="16"/>
      <c r="V35" s="16"/>
    </row>
    <row r="36" spans="2:22" ht="35.549999999999997" customHeight="1" x14ac:dyDescent="0.3">
      <c r="B36" s="123" t="s">
        <v>20</v>
      </c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</row>
    <row r="37" spans="2:22" ht="15.6" customHeight="1" x14ac:dyDescent="0.3">
      <c r="B37" s="6"/>
      <c r="C37" s="51"/>
      <c r="D37" s="53"/>
      <c r="E37" s="55"/>
      <c r="F37" s="55"/>
      <c r="G37" s="55"/>
      <c r="H37" s="64"/>
      <c r="I37" s="64"/>
      <c r="J37" s="26"/>
      <c r="K37" s="13"/>
      <c r="L37" s="23"/>
      <c r="M37" s="6"/>
      <c r="N37" s="6"/>
      <c r="O37" s="6"/>
      <c r="P37" s="6"/>
      <c r="Q37" s="6"/>
      <c r="R37" s="6"/>
      <c r="S37" s="6"/>
      <c r="T37" s="6"/>
      <c r="U37" s="16"/>
      <c r="V37" s="16"/>
    </row>
    <row r="38" spans="2:22" x14ac:dyDescent="0.3">
      <c r="B38" s="22">
        <f>E5</f>
        <v>45627</v>
      </c>
      <c r="C38" s="93">
        <f>(B$44-B38)/365</f>
        <v>8.4931506849315067E-2</v>
      </c>
      <c r="D38" s="52">
        <f>D5</f>
        <v>10000</v>
      </c>
      <c r="E38" s="56"/>
      <c r="F38" s="56"/>
      <c r="G38" s="56"/>
      <c r="H38" s="65"/>
      <c r="I38" s="65"/>
      <c r="J38" s="90">
        <f>D38*(1+D$17)^C38</f>
        <v>10041.52419664797</v>
      </c>
      <c r="K38" s="2"/>
      <c r="L38" s="23"/>
      <c r="M38" s="13"/>
      <c r="N38" s="13"/>
      <c r="O38" s="31"/>
      <c r="P38" s="31"/>
      <c r="Q38" s="2"/>
      <c r="R38" s="13"/>
      <c r="S38" s="13"/>
      <c r="T38" s="19">
        <f>-J38</f>
        <v>-10041.52419664797</v>
      </c>
      <c r="U38" s="17"/>
      <c r="V38" s="18"/>
    </row>
    <row r="39" spans="2:22" x14ac:dyDescent="0.3">
      <c r="B39" s="22">
        <f>IF(D6=0,"",E6)</f>
        <v>45717</v>
      </c>
      <c r="C39" s="93">
        <f>(B$44-B39)/365</f>
        <v>-0.16164383561643836</v>
      </c>
      <c r="D39" s="52">
        <f>D6</f>
        <v>10000</v>
      </c>
      <c r="E39" s="56"/>
      <c r="F39" s="56"/>
      <c r="G39" s="56"/>
      <c r="H39" s="65"/>
      <c r="I39" s="65"/>
      <c r="J39" s="90">
        <f>D39*(1+D$17)^C39</f>
        <v>9921.4438858827452</v>
      </c>
      <c r="K39" s="2"/>
      <c r="L39" s="23"/>
      <c r="M39" s="13"/>
      <c r="N39" s="13"/>
      <c r="O39" s="31"/>
      <c r="P39" s="31"/>
      <c r="Q39" s="12"/>
      <c r="R39" s="13"/>
      <c r="S39" s="13"/>
      <c r="T39" s="19">
        <f>T38-J39</f>
        <v>-19962.968082530715</v>
      </c>
      <c r="U39" s="17"/>
      <c r="V39" s="18"/>
    </row>
    <row r="40" spans="2:22" x14ac:dyDescent="0.3">
      <c r="B40" s="22">
        <f>IF(D7=0,"",E7)</f>
        <v>45960</v>
      </c>
      <c r="C40" s="93">
        <f>(B$44-B40)/365</f>
        <v>-0.82739726027397265</v>
      </c>
      <c r="D40" s="52">
        <f>D7</f>
        <v>10000</v>
      </c>
      <c r="E40" s="56"/>
      <c r="F40" s="56"/>
      <c r="G40" s="56"/>
      <c r="H40" s="65"/>
      <c r="I40" s="65"/>
      <c r="J40" s="90">
        <f>D40*(1+D$17)^C40</f>
        <v>9604.3511908269193</v>
      </c>
      <c r="K40" s="2"/>
      <c r="L40" s="23"/>
      <c r="M40" s="13"/>
      <c r="N40" s="13"/>
      <c r="O40" s="31"/>
      <c r="P40" s="31"/>
      <c r="Q40" s="12"/>
      <c r="R40" s="13"/>
      <c r="S40" s="13"/>
      <c r="T40" s="19">
        <f>T39-J40</f>
        <v>-29567.319273357636</v>
      </c>
      <c r="U40" s="17"/>
      <c r="V40" s="18"/>
    </row>
    <row r="41" spans="2:22" x14ac:dyDescent="0.3">
      <c r="B41" s="22" t="str">
        <f>IF(D8=0,"",E8)</f>
        <v/>
      </c>
      <c r="C41" s="47"/>
      <c r="D41" s="52"/>
      <c r="E41" s="56"/>
      <c r="F41" s="56"/>
      <c r="G41" s="56"/>
      <c r="H41" s="65"/>
      <c r="I41" s="65"/>
      <c r="J41" s="90"/>
      <c r="K41" s="2"/>
      <c r="L41" s="23"/>
      <c r="M41" s="13"/>
      <c r="N41" s="13"/>
      <c r="O41" s="31"/>
      <c r="P41" s="31"/>
      <c r="Q41" s="12"/>
      <c r="R41" s="13"/>
      <c r="S41" s="13"/>
      <c r="T41" s="19"/>
      <c r="U41" s="17"/>
      <c r="V41" s="18"/>
    </row>
    <row r="42" spans="2:22" x14ac:dyDescent="0.3">
      <c r="B42" s="22">
        <f>IF(D10=0,"",E10)</f>
        <v>45657</v>
      </c>
      <c r="C42" s="47"/>
      <c r="D42" s="52"/>
      <c r="E42" s="83">
        <f>(D14-E10)/365*(D10*D11)</f>
        <v>6.8493150684931505</v>
      </c>
      <c r="F42" s="83">
        <f>IF($D$10=0,0,((B44-E10)/365)*D12)</f>
        <v>2.1917808219178083E-4</v>
      </c>
      <c r="G42" s="83">
        <f>G34+E42-F42</f>
        <v>50006.849095890415</v>
      </c>
      <c r="H42" s="65"/>
      <c r="I42" s="65"/>
      <c r="J42" s="90">
        <f>F34</f>
        <v>58584.970263611453</v>
      </c>
      <c r="K42" s="2"/>
      <c r="L42" s="23"/>
      <c r="M42" s="13"/>
      <c r="N42" s="13"/>
      <c r="O42" s="31"/>
      <c r="P42" s="31"/>
      <c r="Q42" s="12"/>
      <c r="R42" s="13"/>
      <c r="S42" s="13"/>
      <c r="T42" s="19">
        <f>T40-J42</f>
        <v>-88152.289536969096</v>
      </c>
      <c r="U42" s="17"/>
      <c r="V42" s="18"/>
    </row>
    <row r="43" spans="2:22" ht="32.1" customHeight="1" x14ac:dyDescent="0.3">
      <c r="B43" s="120"/>
      <c r="C43" s="120"/>
      <c r="D43" s="120"/>
      <c r="E43" s="35"/>
      <c r="F43" s="35"/>
      <c r="G43" s="35"/>
      <c r="H43" s="66"/>
      <c r="I43" s="66"/>
      <c r="J43" s="35"/>
      <c r="K43" s="30" t="s">
        <v>21</v>
      </c>
      <c r="L43" s="30"/>
      <c r="M43" s="30"/>
      <c r="N43" s="30"/>
      <c r="O43" s="32"/>
      <c r="P43" s="32"/>
      <c r="Q43" s="30"/>
      <c r="R43" s="30"/>
      <c r="S43" s="30"/>
      <c r="T43" s="30"/>
    </row>
    <row r="44" spans="2:22" x14ac:dyDescent="0.3">
      <c r="B44" s="37">
        <f>D14</f>
        <v>45658</v>
      </c>
      <c r="C44" s="47">
        <f>IF(B29="Ja",1,(DATE(YEAR(B44),12,31)-DATE(YEAR(B44),MONTH(B44),DAY(B44))+1)/365)</f>
        <v>1</v>
      </c>
      <c r="D44" s="48"/>
      <c r="E44" s="83">
        <f>G42*D$11*C44</f>
        <v>2500.342454794521</v>
      </c>
      <c r="F44" s="83"/>
      <c r="G44" s="83">
        <f>$D$10-F44</f>
        <v>50000</v>
      </c>
      <c r="H44" s="85">
        <f>($D$5+$D$6+$D$7+$D$8+$D$10)/$D$15</f>
        <v>4000</v>
      </c>
      <c r="I44" s="85">
        <f>H44*$D$26</f>
        <v>1333</v>
      </c>
      <c r="J44" s="24"/>
      <c r="K44" s="5">
        <f>(D16*C44)</f>
        <v>1500</v>
      </c>
      <c r="L44" s="90">
        <f>D20</f>
        <v>0.2</v>
      </c>
      <c r="M44" s="5">
        <f>D19*L44+I44</f>
        <v>17333</v>
      </c>
      <c r="N44" s="5">
        <f>E44+F44+K44</f>
        <v>4000.342454794521</v>
      </c>
      <c r="O44" s="90">
        <f>M44-K44-F44</f>
        <v>15833</v>
      </c>
      <c r="P44" s="90">
        <f>0+O44-N44</f>
        <v>11832.657545205479</v>
      </c>
      <c r="Q44" s="86">
        <f>IF($C45="","",IF(B29="Ja",1/(1+D$17)^1,1/(1+D$17)^C44))</f>
        <v>0.95238095238095233</v>
      </c>
      <c r="R44" s="90">
        <f>(O44-N44)*Q44</f>
        <v>11269.197662100456</v>
      </c>
      <c r="S44" s="90">
        <f>R44</f>
        <v>11269.197662100456</v>
      </c>
      <c r="T44" s="19">
        <f>T42+R44</f>
        <v>-76883.091874868638</v>
      </c>
      <c r="U44" s="17"/>
      <c r="V44" s="18"/>
    </row>
    <row r="45" spans="2:22" x14ac:dyDescent="0.3">
      <c r="B45" s="22">
        <f>IF($C45="","",(DATE(YEAR(B44)+1,MONTH(1),DAY(1))))</f>
        <v>46023</v>
      </c>
      <c r="C45" s="49">
        <f>IFERROR(IF(IF(B29="Ja",2,1)&lt;=$D$15,IF(B29="Ja",2,1),""),"")</f>
        <v>2</v>
      </c>
      <c r="D45" s="49"/>
      <c r="E45" s="83">
        <f>IF($C45="","",G44*D$11)</f>
        <v>2500</v>
      </c>
      <c r="F45" s="83">
        <f>IF($C45="","",IF(C45&lt;=$D$15,G44*$D$12,0))</f>
        <v>4000</v>
      </c>
      <c r="G45" s="83">
        <f>IF($C45="","",G44+E45-F45)</f>
        <v>48500</v>
      </c>
      <c r="H45" s="85">
        <f>IF($C45="","",($D$5+$D$6+$D$7+$D$8+$D$10)/$D$15)</f>
        <v>4000</v>
      </c>
      <c r="I45" s="85">
        <f>IF($C45="","",H45*$D$26)</f>
        <v>1333</v>
      </c>
      <c r="J45" s="3"/>
      <c r="K45" s="90">
        <f>IF($C45="","",K44*(1+D$22))</f>
        <v>1530</v>
      </c>
      <c r="L45" s="90">
        <f>IF($C45="","",L44*(1+D$21))</f>
        <v>0.20600000000000002</v>
      </c>
      <c r="M45" s="5">
        <f>IF($C45="","",D$19*L45+I45)</f>
        <v>17813</v>
      </c>
      <c r="N45" s="5">
        <f>IF($C45="","",E45+F45+K45+IF(C45=$D$15,G45,0))</f>
        <v>8030</v>
      </c>
      <c r="O45" s="90">
        <f>IF($C45="","",M45-K45-F45)</f>
        <v>12283</v>
      </c>
      <c r="P45" s="90">
        <f>IF($C45="","",P44+O45-N45)</f>
        <v>16085.657545205479</v>
      </c>
      <c r="Q45" s="86">
        <f>IF($C45="","",1/(1+D$17)^(C45))</f>
        <v>0.90702947845804982</v>
      </c>
      <c r="R45" s="90">
        <f>IF($C45="","",(O45-N45)*Q45)</f>
        <v>3857.5963718820858</v>
      </c>
      <c r="S45" s="90">
        <f>IF($C45="","",S44+R45)</f>
        <v>15126.794033982542</v>
      </c>
      <c r="T45" s="19">
        <f>IF($C45="","",T44+R45)</f>
        <v>-73025.495502986552</v>
      </c>
      <c r="U45" s="17"/>
      <c r="V45" s="18"/>
    </row>
    <row r="46" spans="2:22" x14ac:dyDescent="0.3">
      <c r="B46" s="22">
        <f t="shared" ref="B46:B93" si="0">IF($C46="","",(DATE(YEAR(B45)+1,MONTH(1),DAY(1))))</f>
        <v>46388</v>
      </c>
      <c r="C46" s="49">
        <f>IFERROR(IF(C45+1&lt;=$D$15,C45+1,""),"")</f>
        <v>3</v>
      </c>
      <c r="D46" s="49"/>
      <c r="E46" s="83">
        <f t="shared" ref="E46:E93" si="1">IF($C46="","",G45*D$11)</f>
        <v>2425</v>
      </c>
      <c r="F46" s="83">
        <f t="shared" ref="F46:F63" si="2">IF($C46="","",IF(C46&lt;=$D$15,G45*$D$12,0))</f>
        <v>3880</v>
      </c>
      <c r="G46" s="83">
        <f t="shared" ref="G46:G93" si="3">IF($C46="","",G45+E46-F46)</f>
        <v>47045</v>
      </c>
      <c r="H46" s="85">
        <f t="shared" ref="H46:H93" si="4">IF($C46="","",($D$5+$D$6+$D$7+$D$8+$D$10)/$D$15)</f>
        <v>4000</v>
      </c>
      <c r="I46" s="85">
        <f t="shared" ref="I46:I93" si="5">IF($C46="","",H46*$D$26)</f>
        <v>1333</v>
      </c>
      <c r="J46" s="3"/>
      <c r="K46" s="90">
        <f t="shared" ref="K46:K73" si="6">IF($C46="","",K45*(1+D$22))</f>
        <v>1560.6000000000001</v>
      </c>
      <c r="L46" s="90">
        <f t="shared" ref="L46:L73" si="7">IF($C46="","",L45*(1+D$21))</f>
        <v>0.21218000000000004</v>
      </c>
      <c r="M46" s="5">
        <f>IF($C46="","",D$19*L46+I46)</f>
        <v>18307.400000000001</v>
      </c>
      <c r="N46" s="5">
        <f t="shared" ref="N46:N73" si="8">IF($C46="","",E46+F46+K46+IF(C46=$D$15,G46,0))</f>
        <v>7865.6</v>
      </c>
      <c r="O46" s="90">
        <f t="shared" ref="O46:O73" si="9">IF($C46="","",M46-K46-F46)</f>
        <v>12866.800000000003</v>
      </c>
      <c r="P46" s="90">
        <f t="shared" ref="P46:P73" si="10">IF($C46="","",P45+O46-N46)</f>
        <v>21086.857545205479</v>
      </c>
      <c r="Q46" s="86">
        <f t="shared" ref="Q46:Q73" si="11">IF($C46="","",1/(1+D$17)^(C46))</f>
        <v>0.86383759853147601</v>
      </c>
      <c r="R46" s="90">
        <f t="shared" ref="R46:R73" si="12">IF($C46="","",(O46-N46)*Q46)</f>
        <v>4320.2245977756202</v>
      </c>
      <c r="S46" s="90">
        <f t="shared" ref="S46:S73" si="13">IF($C46="","",S45+R46)</f>
        <v>19447.018631758161</v>
      </c>
      <c r="T46" s="19">
        <f t="shared" ref="T46:T73" si="14">IF($C46="","",T45+R46)</f>
        <v>-68705.270905210928</v>
      </c>
      <c r="U46" s="17"/>
      <c r="V46" s="18"/>
    </row>
    <row r="47" spans="2:22" x14ac:dyDescent="0.3">
      <c r="B47" s="22">
        <f t="shared" si="0"/>
        <v>46753</v>
      </c>
      <c r="C47" s="49">
        <f t="shared" ref="C47:C93" si="15">IFERROR(IF(C46+1&lt;=$D$15,C46+1,""),"")</f>
        <v>4</v>
      </c>
      <c r="D47" s="49"/>
      <c r="E47" s="83">
        <f t="shared" si="1"/>
        <v>2352.25</v>
      </c>
      <c r="F47" s="83">
        <f t="shared" si="2"/>
        <v>3763.6</v>
      </c>
      <c r="G47" s="83">
        <f t="shared" si="3"/>
        <v>45633.65</v>
      </c>
      <c r="H47" s="85">
        <f t="shared" si="4"/>
        <v>4000</v>
      </c>
      <c r="I47" s="85">
        <f t="shared" si="5"/>
        <v>1333</v>
      </c>
      <c r="J47" s="3"/>
      <c r="K47" s="90">
        <f t="shared" si="6"/>
        <v>1591.8120000000001</v>
      </c>
      <c r="L47" s="90">
        <f t="shared" si="7"/>
        <v>0.21854540000000003</v>
      </c>
      <c r="M47" s="5">
        <f>IF($C47="","",D$19*L47+I47)</f>
        <v>18816.632000000001</v>
      </c>
      <c r="N47" s="5">
        <f t="shared" si="8"/>
        <v>7707.6620000000003</v>
      </c>
      <c r="O47" s="90">
        <f t="shared" si="9"/>
        <v>13461.22</v>
      </c>
      <c r="P47" s="90">
        <f t="shared" si="10"/>
        <v>26840.41554520548</v>
      </c>
      <c r="Q47" s="86">
        <f t="shared" si="11"/>
        <v>0.82270247479188197</v>
      </c>
      <c r="R47" s="90">
        <f t="shared" si="12"/>
        <v>4733.4664054586301</v>
      </c>
      <c r="S47" s="90">
        <f t="shared" si="13"/>
        <v>24180.485037216793</v>
      </c>
      <c r="T47" s="19">
        <f t="shared" si="14"/>
        <v>-63971.804499752296</v>
      </c>
      <c r="U47" s="17"/>
      <c r="V47" s="18"/>
    </row>
    <row r="48" spans="2:22" x14ac:dyDescent="0.3">
      <c r="B48" s="22">
        <f t="shared" si="0"/>
        <v>47119</v>
      </c>
      <c r="C48" s="49">
        <f t="shared" si="15"/>
        <v>5</v>
      </c>
      <c r="D48" s="49"/>
      <c r="E48" s="83">
        <f t="shared" si="1"/>
        <v>2281.6825000000003</v>
      </c>
      <c r="F48" s="83">
        <f t="shared" si="2"/>
        <v>3650.692</v>
      </c>
      <c r="G48" s="83">
        <f t="shared" si="3"/>
        <v>44264.640500000001</v>
      </c>
      <c r="H48" s="85">
        <f t="shared" si="4"/>
        <v>4000</v>
      </c>
      <c r="I48" s="85">
        <f t="shared" si="5"/>
        <v>1333</v>
      </c>
      <c r="J48" s="3"/>
      <c r="K48" s="90">
        <f t="shared" si="6"/>
        <v>1623.6482400000002</v>
      </c>
      <c r="L48" s="90">
        <f t="shared" si="7"/>
        <v>0.22510176200000004</v>
      </c>
      <c r="M48" s="5">
        <f t="shared" ref="M48:M73" si="16">IF($C48="","",D$19*L48+I48)</f>
        <v>19341.140960000004</v>
      </c>
      <c r="N48" s="5">
        <f t="shared" si="8"/>
        <v>7556.0227400000003</v>
      </c>
      <c r="O48" s="90">
        <f t="shared" si="9"/>
        <v>14066.800720000007</v>
      </c>
      <c r="P48" s="90">
        <f t="shared" si="10"/>
        <v>33351.193525205483</v>
      </c>
      <c r="Q48" s="86">
        <f t="shared" si="11"/>
        <v>0.78352616646845896</v>
      </c>
      <c r="R48" s="90">
        <f t="shared" si="12"/>
        <v>5101.3649113966621</v>
      </c>
      <c r="S48" s="90">
        <f t="shared" si="13"/>
        <v>29281.849948613453</v>
      </c>
      <c r="T48" s="19">
        <f t="shared" si="14"/>
        <v>-58870.439588355635</v>
      </c>
      <c r="U48" s="17"/>
      <c r="V48" s="18"/>
    </row>
    <row r="49" spans="2:22" x14ac:dyDescent="0.3">
      <c r="B49" s="22">
        <f t="shared" si="0"/>
        <v>47484</v>
      </c>
      <c r="C49" s="49">
        <f t="shared" si="15"/>
        <v>6</v>
      </c>
      <c r="D49" s="49"/>
      <c r="E49" s="83">
        <f t="shared" si="1"/>
        <v>2213.2320250000002</v>
      </c>
      <c r="F49" s="83">
        <f t="shared" si="2"/>
        <v>3541.1712400000001</v>
      </c>
      <c r="G49" s="83">
        <f t="shared" si="3"/>
        <v>42936.701284999996</v>
      </c>
      <c r="H49" s="85">
        <f t="shared" si="4"/>
        <v>4000</v>
      </c>
      <c r="I49" s="85">
        <f t="shared" si="5"/>
        <v>1333</v>
      </c>
      <c r="J49" s="3"/>
      <c r="K49" s="90">
        <f t="shared" si="6"/>
        <v>1656.1212048000002</v>
      </c>
      <c r="L49" s="90">
        <f t="shared" si="7"/>
        <v>0.23185481486000004</v>
      </c>
      <c r="M49" s="5">
        <f t="shared" si="16"/>
        <v>19881.385188800003</v>
      </c>
      <c r="N49" s="5">
        <f t="shared" si="8"/>
        <v>7410.5244698000006</v>
      </c>
      <c r="O49" s="90">
        <f t="shared" si="9"/>
        <v>14684.092744000001</v>
      </c>
      <c r="P49" s="90">
        <f t="shared" si="10"/>
        <v>40624.761799405482</v>
      </c>
      <c r="Q49" s="86">
        <f t="shared" si="11"/>
        <v>0.74621539663662761</v>
      </c>
      <c r="R49" s="90">
        <f t="shared" si="12"/>
        <v>5427.6486346957445</v>
      </c>
      <c r="S49" s="90">
        <f t="shared" si="13"/>
        <v>34709.4985833092</v>
      </c>
      <c r="T49" s="19">
        <f t="shared" si="14"/>
        <v>-53442.790953659889</v>
      </c>
      <c r="U49" s="17"/>
    </row>
    <row r="50" spans="2:22" x14ac:dyDescent="0.3">
      <c r="B50" s="22">
        <f t="shared" si="0"/>
        <v>47849</v>
      </c>
      <c r="C50" s="49">
        <f t="shared" si="15"/>
        <v>7</v>
      </c>
      <c r="D50" s="49"/>
      <c r="E50" s="83">
        <f t="shared" si="1"/>
        <v>2146.83506425</v>
      </c>
      <c r="F50" s="83">
        <f t="shared" si="2"/>
        <v>3434.9361027999998</v>
      </c>
      <c r="G50" s="83">
        <f t="shared" si="3"/>
        <v>41648.600246449998</v>
      </c>
      <c r="H50" s="85">
        <f t="shared" si="4"/>
        <v>4000</v>
      </c>
      <c r="I50" s="85">
        <f t="shared" si="5"/>
        <v>1333</v>
      </c>
      <c r="J50" s="3"/>
      <c r="K50" s="90">
        <f t="shared" si="6"/>
        <v>1689.2436288960002</v>
      </c>
      <c r="L50" s="90">
        <f t="shared" si="7"/>
        <v>0.23881045930580005</v>
      </c>
      <c r="M50" s="5">
        <f t="shared" si="16"/>
        <v>20437.836744464006</v>
      </c>
      <c r="N50" s="5">
        <f t="shared" si="8"/>
        <v>7271.0147959459991</v>
      </c>
      <c r="O50" s="90">
        <f t="shared" si="9"/>
        <v>15313.657012768004</v>
      </c>
      <c r="P50" s="90">
        <f t="shared" si="10"/>
        <v>48667.404016227483</v>
      </c>
      <c r="Q50" s="86">
        <f t="shared" si="11"/>
        <v>0.71068133013012147</v>
      </c>
      <c r="R50" s="90">
        <f t="shared" si="12"/>
        <v>5715.7556684117317</v>
      </c>
      <c r="S50" s="90">
        <f t="shared" si="13"/>
        <v>40425.254251720929</v>
      </c>
      <c r="T50" s="19">
        <f t="shared" si="14"/>
        <v>-47727.035285248159</v>
      </c>
      <c r="U50" s="17"/>
    </row>
    <row r="51" spans="2:22" x14ac:dyDescent="0.3">
      <c r="B51" s="22">
        <f t="shared" si="0"/>
        <v>48214</v>
      </c>
      <c r="C51" s="49">
        <f t="shared" si="15"/>
        <v>8</v>
      </c>
      <c r="D51" s="49"/>
      <c r="E51" s="83">
        <f t="shared" si="1"/>
        <v>2082.4300123224998</v>
      </c>
      <c r="F51" s="83">
        <f t="shared" si="2"/>
        <v>3331.8880197159997</v>
      </c>
      <c r="G51" s="83">
        <f t="shared" si="3"/>
        <v>40399.142239056499</v>
      </c>
      <c r="H51" s="85">
        <f t="shared" si="4"/>
        <v>4000</v>
      </c>
      <c r="I51" s="85">
        <f t="shared" si="5"/>
        <v>1333</v>
      </c>
      <c r="J51" s="3"/>
      <c r="K51" s="90">
        <f t="shared" si="6"/>
        <v>1723.0285014739202</v>
      </c>
      <c r="L51" s="90">
        <f t="shared" si="7"/>
        <v>0.24597477308497406</v>
      </c>
      <c r="M51" s="5">
        <f t="shared" si="16"/>
        <v>21010.981846797924</v>
      </c>
      <c r="N51" s="5">
        <f t="shared" si="8"/>
        <v>7137.3465335124201</v>
      </c>
      <c r="O51" s="90">
        <f t="shared" si="9"/>
        <v>15956.065325608004</v>
      </c>
      <c r="P51" s="90">
        <f t="shared" si="10"/>
        <v>57486.122808323067</v>
      </c>
      <c r="Q51" s="86">
        <f t="shared" si="11"/>
        <v>0.67683936202868722</v>
      </c>
      <c r="R51" s="90">
        <f t="shared" si="12"/>
        <v>5968.8560011523705</v>
      </c>
      <c r="S51" s="90">
        <f t="shared" si="13"/>
        <v>46394.110252873303</v>
      </c>
      <c r="T51" s="19">
        <f t="shared" si="14"/>
        <v>-41758.179284095786</v>
      </c>
      <c r="U51" s="17"/>
    </row>
    <row r="52" spans="2:22" x14ac:dyDescent="0.3">
      <c r="B52" s="22">
        <f t="shared" si="0"/>
        <v>48580</v>
      </c>
      <c r="C52" s="49">
        <f t="shared" si="15"/>
        <v>9</v>
      </c>
      <c r="D52" s="49"/>
      <c r="E52" s="83">
        <f t="shared" si="1"/>
        <v>2019.957111952825</v>
      </c>
      <c r="F52" s="83">
        <f t="shared" si="2"/>
        <v>3231.9313791245199</v>
      </c>
      <c r="G52" s="83">
        <f t="shared" si="3"/>
        <v>39187.167971884803</v>
      </c>
      <c r="H52" s="85">
        <f t="shared" si="4"/>
        <v>4000</v>
      </c>
      <c r="I52" s="85">
        <f t="shared" si="5"/>
        <v>1333</v>
      </c>
      <c r="J52" s="3"/>
      <c r="K52" s="90">
        <f t="shared" si="6"/>
        <v>1757.4890715033987</v>
      </c>
      <c r="L52" s="90">
        <f t="shared" si="7"/>
        <v>0.2533540162775233</v>
      </c>
      <c r="M52" s="5">
        <f>IF($C52="","",D$19*L52+I52)</f>
        <v>21601.321302201864</v>
      </c>
      <c r="N52" s="5">
        <f t="shared" si="8"/>
        <v>7009.3775625807439</v>
      </c>
      <c r="O52" s="90">
        <f t="shared" si="9"/>
        <v>16611.900851573948</v>
      </c>
      <c r="P52" s="90">
        <f t="shared" si="10"/>
        <v>67088.646097316261</v>
      </c>
      <c r="Q52" s="86">
        <f t="shared" si="11"/>
        <v>0.64460891621779726</v>
      </c>
      <c r="R52" s="90">
        <f t="shared" si="12"/>
        <v>6189.8721302740678</v>
      </c>
      <c r="S52" s="90">
        <f t="shared" si="13"/>
        <v>52583.98238314737</v>
      </c>
      <c r="T52" s="19">
        <f t="shared" si="14"/>
        <v>-35568.307153821719</v>
      </c>
      <c r="U52" s="17"/>
    </row>
    <row r="53" spans="2:22" x14ac:dyDescent="0.3">
      <c r="B53" s="22">
        <f t="shared" si="0"/>
        <v>48945</v>
      </c>
      <c r="C53" s="49">
        <f t="shared" si="15"/>
        <v>10</v>
      </c>
      <c r="D53" s="49"/>
      <c r="E53" s="83">
        <f t="shared" si="1"/>
        <v>1959.3583985942403</v>
      </c>
      <c r="F53" s="83">
        <f t="shared" si="2"/>
        <v>3134.9734377507843</v>
      </c>
      <c r="G53" s="83">
        <f t="shared" si="3"/>
        <v>38011.552932728257</v>
      </c>
      <c r="H53" s="85">
        <f t="shared" si="4"/>
        <v>4000</v>
      </c>
      <c r="I53" s="85">
        <f t="shared" si="5"/>
        <v>1333</v>
      </c>
      <c r="J53" s="3"/>
      <c r="K53" s="90">
        <f t="shared" si="6"/>
        <v>1792.6388529334668</v>
      </c>
      <c r="L53" s="90">
        <f t="shared" si="7"/>
        <v>0.26095463676584901</v>
      </c>
      <c r="M53" s="5">
        <f t="shared" si="16"/>
        <v>22209.37094126792</v>
      </c>
      <c r="N53" s="5">
        <f t="shared" si="8"/>
        <v>6886.9706892784907</v>
      </c>
      <c r="O53" s="90">
        <f t="shared" si="9"/>
        <v>17281.75865058367</v>
      </c>
      <c r="P53" s="90">
        <f t="shared" si="10"/>
        <v>77483.434058621438</v>
      </c>
      <c r="Q53" s="86">
        <f t="shared" si="11"/>
        <v>0.61391325354075932</v>
      </c>
      <c r="R53" s="90">
        <f t="shared" si="12"/>
        <v>6381.4980971911791</v>
      </c>
      <c r="S53" s="90">
        <f t="shared" si="13"/>
        <v>58965.480480338549</v>
      </c>
      <c r="T53" s="19">
        <f t="shared" si="14"/>
        <v>-29186.80905663054</v>
      </c>
      <c r="U53" s="17"/>
      <c r="V53" s="18"/>
    </row>
    <row r="54" spans="2:22" x14ac:dyDescent="0.3">
      <c r="B54" s="22">
        <f t="shared" si="0"/>
        <v>49310</v>
      </c>
      <c r="C54" s="49">
        <f t="shared" si="15"/>
        <v>11</v>
      </c>
      <c r="D54" s="49"/>
      <c r="E54" s="83">
        <f t="shared" si="1"/>
        <v>1900.577646636413</v>
      </c>
      <c r="F54" s="83">
        <f t="shared" si="2"/>
        <v>3040.9242346182605</v>
      </c>
      <c r="G54" s="83">
        <f t="shared" si="3"/>
        <v>36871.20634474641</v>
      </c>
      <c r="H54" s="85">
        <f t="shared" si="4"/>
        <v>4000</v>
      </c>
      <c r="I54" s="85">
        <f t="shared" si="5"/>
        <v>1333</v>
      </c>
      <c r="J54" s="3"/>
      <c r="K54" s="90">
        <f t="shared" si="6"/>
        <v>1828.491629992136</v>
      </c>
      <c r="L54" s="90">
        <f t="shared" si="7"/>
        <v>0.2687832758688245</v>
      </c>
      <c r="M54" s="5">
        <f t="shared" si="16"/>
        <v>22835.662069505961</v>
      </c>
      <c r="N54" s="5">
        <f t="shared" si="8"/>
        <v>6769.9935112468092</v>
      </c>
      <c r="O54" s="90">
        <f t="shared" si="9"/>
        <v>17966.246204895564</v>
      </c>
      <c r="P54" s="90">
        <f t="shared" si="10"/>
        <v>88679.686752270194</v>
      </c>
      <c r="Q54" s="86">
        <f t="shared" si="11"/>
        <v>0.5846792890864374</v>
      </c>
      <c r="R54" s="90">
        <f t="shared" si="12"/>
        <v>6546.2170653546646</v>
      </c>
      <c r="S54" s="90">
        <f t="shared" si="13"/>
        <v>65511.697545693212</v>
      </c>
      <c r="T54" s="19">
        <f t="shared" si="14"/>
        <v>-22640.591991275876</v>
      </c>
      <c r="U54" s="17"/>
      <c r="V54" s="18"/>
    </row>
    <row r="55" spans="2:22" x14ac:dyDescent="0.3">
      <c r="B55" s="22">
        <f t="shared" si="0"/>
        <v>49675</v>
      </c>
      <c r="C55" s="49">
        <f t="shared" si="15"/>
        <v>12</v>
      </c>
      <c r="D55" s="49"/>
      <c r="E55" s="83">
        <f t="shared" si="1"/>
        <v>1843.5603172373205</v>
      </c>
      <c r="F55" s="83">
        <f t="shared" si="2"/>
        <v>2949.6965075797129</v>
      </c>
      <c r="G55" s="83">
        <f t="shared" si="3"/>
        <v>35765.07015440402</v>
      </c>
      <c r="H55" s="85">
        <f t="shared" si="4"/>
        <v>4000</v>
      </c>
      <c r="I55" s="85">
        <f t="shared" si="5"/>
        <v>1333</v>
      </c>
      <c r="J55" s="3"/>
      <c r="K55" s="90">
        <f t="shared" si="6"/>
        <v>1865.0614625919789</v>
      </c>
      <c r="L55" s="90">
        <f t="shared" si="7"/>
        <v>0.27684677414488923</v>
      </c>
      <c r="M55" s="5">
        <f t="shared" si="16"/>
        <v>23480.741931591139</v>
      </c>
      <c r="N55" s="5">
        <f t="shared" si="8"/>
        <v>6658.3182874090126</v>
      </c>
      <c r="O55" s="90">
        <f t="shared" si="9"/>
        <v>18665.98396141945</v>
      </c>
      <c r="P55" s="90">
        <f t="shared" si="10"/>
        <v>100687.35242628063</v>
      </c>
      <c r="Q55" s="86">
        <f t="shared" si="11"/>
        <v>0.5568374181775595</v>
      </c>
      <c r="R55" s="90">
        <f t="shared" si="12"/>
        <v>6686.3175522552765</v>
      </c>
      <c r="S55" s="90">
        <f t="shared" si="13"/>
        <v>72198.01509794849</v>
      </c>
      <c r="T55" s="19">
        <f t="shared" si="14"/>
        <v>-15954.274439020599</v>
      </c>
      <c r="U55" s="17"/>
      <c r="V55" s="18"/>
    </row>
    <row r="56" spans="2:22" x14ac:dyDescent="0.3">
      <c r="B56" s="22">
        <f t="shared" si="0"/>
        <v>50041</v>
      </c>
      <c r="C56" s="49">
        <f t="shared" si="15"/>
        <v>13</v>
      </c>
      <c r="D56" s="49"/>
      <c r="E56" s="83">
        <f t="shared" si="1"/>
        <v>1788.253507720201</v>
      </c>
      <c r="F56" s="83">
        <f t="shared" si="2"/>
        <v>2861.2056123523216</v>
      </c>
      <c r="G56" s="83">
        <f t="shared" si="3"/>
        <v>34692.118049771903</v>
      </c>
      <c r="H56" s="85">
        <f t="shared" si="4"/>
        <v>4000</v>
      </c>
      <c r="I56" s="85">
        <f t="shared" si="5"/>
        <v>1333</v>
      </c>
      <c r="J56" s="3"/>
      <c r="K56" s="90">
        <f t="shared" si="6"/>
        <v>1902.3626918438185</v>
      </c>
      <c r="L56" s="90">
        <f t="shared" si="7"/>
        <v>0.28515217736923593</v>
      </c>
      <c r="M56" s="5">
        <f t="shared" si="16"/>
        <v>24145.174189538873</v>
      </c>
      <c r="N56" s="5">
        <f t="shared" si="8"/>
        <v>6551.8218119163412</v>
      </c>
      <c r="O56" s="90">
        <f t="shared" si="9"/>
        <v>19381.605885342731</v>
      </c>
      <c r="P56" s="90">
        <f t="shared" si="10"/>
        <v>113517.13649970703</v>
      </c>
      <c r="Q56" s="86">
        <f t="shared" si="11"/>
        <v>0.53032135064529462</v>
      </c>
      <c r="R56" s="90">
        <f t="shared" si="12"/>
        <v>6803.9084183069726</v>
      </c>
      <c r="S56" s="90">
        <f t="shared" si="13"/>
        <v>79001.923516255469</v>
      </c>
      <c r="T56" s="19">
        <f t="shared" si="14"/>
        <v>-9150.3660207136272</v>
      </c>
      <c r="U56" s="17"/>
      <c r="V56" s="18"/>
    </row>
    <row r="57" spans="2:22" x14ac:dyDescent="0.3">
      <c r="B57" s="22">
        <f t="shared" si="0"/>
        <v>50406</v>
      </c>
      <c r="C57" s="49">
        <f t="shared" si="15"/>
        <v>14</v>
      </c>
      <c r="D57" s="49"/>
      <c r="E57" s="83">
        <f t="shared" si="1"/>
        <v>1734.6059024885953</v>
      </c>
      <c r="F57" s="83">
        <f t="shared" si="2"/>
        <v>2775.3694439817523</v>
      </c>
      <c r="G57" s="83">
        <f t="shared" si="3"/>
        <v>33651.354508278746</v>
      </c>
      <c r="H57" s="85">
        <f t="shared" si="4"/>
        <v>4000</v>
      </c>
      <c r="I57" s="85">
        <f t="shared" si="5"/>
        <v>1333</v>
      </c>
      <c r="J57" s="3"/>
      <c r="K57" s="90">
        <f t="shared" si="6"/>
        <v>1940.409945680695</v>
      </c>
      <c r="L57" s="90">
        <f t="shared" si="7"/>
        <v>0.29370674269031299</v>
      </c>
      <c r="M57" s="5">
        <f t="shared" si="16"/>
        <v>24829.539415225041</v>
      </c>
      <c r="N57" s="5">
        <f t="shared" si="8"/>
        <v>6450.3852921510434</v>
      </c>
      <c r="O57" s="90">
        <f t="shared" si="9"/>
        <v>20113.760025562595</v>
      </c>
      <c r="P57" s="90">
        <f t="shared" si="10"/>
        <v>127180.5112331186</v>
      </c>
      <c r="Q57" s="86">
        <f t="shared" si="11"/>
        <v>0.50506795299551888</v>
      </c>
      <c r="R57" s="90">
        <f t="shared" si="12"/>
        <v>6900.9327076148656</v>
      </c>
      <c r="S57" s="90">
        <f t="shared" si="13"/>
        <v>85902.856223870331</v>
      </c>
      <c r="T57" s="19">
        <f t="shared" si="14"/>
        <v>-2249.4333130987616</v>
      </c>
      <c r="U57" s="17"/>
      <c r="V57" s="18"/>
    </row>
    <row r="58" spans="2:22" x14ac:dyDescent="0.3">
      <c r="B58" s="22">
        <f t="shared" si="0"/>
        <v>50771</v>
      </c>
      <c r="C58" s="49">
        <f t="shared" si="15"/>
        <v>15</v>
      </c>
      <c r="D58" s="49"/>
      <c r="E58" s="83">
        <f t="shared" si="1"/>
        <v>1682.5677254139373</v>
      </c>
      <c r="F58" s="83">
        <f t="shared" si="2"/>
        <v>2692.1083606622997</v>
      </c>
      <c r="G58" s="83">
        <f t="shared" si="3"/>
        <v>32641.813873030384</v>
      </c>
      <c r="H58" s="85">
        <f t="shared" si="4"/>
        <v>4000</v>
      </c>
      <c r="I58" s="85">
        <f t="shared" si="5"/>
        <v>1333</v>
      </c>
      <c r="J58" s="3"/>
      <c r="K58" s="90">
        <f t="shared" si="6"/>
        <v>1979.218144594309</v>
      </c>
      <c r="L58" s="90">
        <f t="shared" si="7"/>
        <v>0.30251794497102241</v>
      </c>
      <c r="M58" s="5">
        <f t="shared" si="16"/>
        <v>25534.435597681793</v>
      </c>
      <c r="N58" s="5">
        <f t="shared" si="8"/>
        <v>6353.8942306705458</v>
      </c>
      <c r="O58" s="90">
        <f t="shared" si="9"/>
        <v>20863.109092425184</v>
      </c>
      <c r="P58" s="90">
        <f t="shared" si="10"/>
        <v>141689.72609487321</v>
      </c>
      <c r="Q58" s="86">
        <f t="shared" si="11"/>
        <v>0.48101709809097021</v>
      </c>
      <c r="R58" s="90">
        <f t="shared" si="12"/>
        <v>6979.1804283795927</v>
      </c>
      <c r="S58" s="90">
        <f t="shared" si="13"/>
        <v>92882.036652249924</v>
      </c>
      <c r="T58" s="19">
        <f t="shared" si="14"/>
        <v>4729.7471152808312</v>
      </c>
      <c r="U58" s="17"/>
      <c r="V58" s="18"/>
    </row>
    <row r="59" spans="2:22" x14ac:dyDescent="0.3">
      <c r="B59" s="22">
        <f t="shared" si="0"/>
        <v>51136</v>
      </c>
      <c r="C59" s="49">
        <f t="shared" si="15"/>
        <v>16</v>
      </c>
      <c r="D59" s="49"/>
      <c r="E59" s="83">
        <f t="shared" si="1"/>
        <v>1632.0906936515194</v>
      </c>
      <c r="F59" s="83">
        <f t="shared" si="2"/>
        <v>2611.3451098424307</v>
      </c>
      <c r="G59" s="83">
        <f t="shared" si="3"/>
        <v>31662.55945683947</v>
      </c>
      <c r="H59" s="85">
        <f t="shared" si="4"/>
        <v>4000</v>
      </c>
      <c r="I59" s="85">
        <f t="shared" si="5"/>
        <v>1333</v>
      </c>
      <c r="J59" s="3"/>
      <c r="K59" s="90">
        <f t="shared" si="6"/>
        <v>2018.8025074861953</v>
      </c>
      <c r="L59" s="90">
        <f t="shared" si="7"/>
        <v>0.31159348332015308</v>
      </c>
      <c r="M59" s="5">
        <f t="shared" si="16"/>
        <v>26260.478665612245</v>
      </c>
      <c r="N59" s="5">
        <f t="shared" si="8"/>
        <v>6262.2383109801458</v>
      </c>
      <c r="O59" s="90">
        <f t="shared" si="9"/>
        <v>21630.33104828362</v>
      </c>
      <c r="P59" s="90">
        <f t="shared" si="10"/>
        <v>157057.81883217668</v>
      </c>
      <c r="Q59" s="86">
        <f t="shared" si="11"/>
        <v>0.45811152199140021</v>
      </c>
      <c r="R59" s="90">
        <f t="shared" si="12"/>
        <v>7040.3003539910787</v>
      </c>
      <c r="S59" s="90">
        <f t="shared" si="13"/>
        <v>99922.337006240996</v>
      </c>
      <c r="T59" s="19">
        <f t="shared" si="14"/>
        <v>11770.047469271911</v>
      </c>
      <c r="U59" s="17"/>
      <c r="V59" s="18"/>
    </row>
    <row r="60" spans="2:22" x14ac:dyDescent="0.3">
      <c r="B60" s="22">
        <f t="shared" si="0"/>
        <v>51502</v>
      </c>
      <c r="C60" s="49">
        <f t="shared" si="15"/>
        <v>17</v>
      </c>
      <c r="D60" s="49"/>
      <c r="E60" s="83">
        <f t="shared" si="1"/>
        <v>1583.1279728419736</v>
      </c>
      <c r="F60" s="83">
        <f t="shared" si="2"/>
        <v>2533.0047565471577</v>
      </c>
      <c r="G60" s="83">
        <f t="shared" si="3"/>
        <v>30712.682673134284</v>
      </c>
      <c r="H60" s="85">
        <f t="shared" si="4"/>
        <v>4000</v>
      </c>
      <c r="I60" s="85">
        <f t="shared" si="5"/>
        <v>1333</v>
      </c>
      <c r="J60" s="3"/>
      <c r="K60" s="90">
        <f t="shared" si="6"/>
        <v>2059.1785576359193</v>
      </c>
      <c r="L60" s="90">
        <f t="shared" si="7"/>
        <v>0.32094128781975767</v>
      </c>
      <c r="M60" s="5">
        <f t="shared" si="16"/>
        <v>27008.303025580615</v>
      </c>
      <c r="N60" s="5">
        <f t="shared" si="8"/>
        <v>6175.3112870250516</v>
      </c>
      <c r="O60" s="90">
        <f t="shared" si="9"/>
        <v>22416.11971139754</v>
      </c>
      <c r="P60" s="90">
        <f t="shared" si="10"/>
        <v>173298.62725654917</v>
      </c>
      <c r="Q60" s="86">
        <f t="shared" si="11"/>
        <v>0.43629668761085727</v>
      </c>
      <c r="R60" s="90">
        <f t="shared" si="12"/>
        <v>7085.8109196762225</v>
      </c>
      <c r="S60" s="90">
        <f t="shared" si="13"/>
        <v>107008.14792591722</v>
      </c>
      <c r="T60" s="19">
        <f t="shared" si="14"/>
        <v>18855.858388948134</v>
      </c>
      <c r="U60" s="17"/>
      <c r="V60" s="18"/>
    </row>
    <row r="61" spans="2:22" x14ac:dyDescent="0.3">
      <c r="B61" s="22">
        <f t="shared" si="0"/>
        <v>51867</v>
      </c>
      <c r="C61" s="49">
        <f t="shared" si="15"/>
        <v>18</v>
      </c>
      <c r="D61" s="49"/>
      <c r="E61" s="83">
        <f t="shared" si="1"/>
        <v>1535.6341336567143</v>
      </c>
      <c r="F61" s="83">
        <f t="shared" si="2"/>
        <v>2457.014613850743</v>
      </c>
      <c r="G61" s="83">
        <f t="shared" si="3"/>
        <v>29791.302192940253</v>
      </c>
      <c r="H61" s="85">
        <f t="shared" si="4"/>
        <v>4000</v>
      </c>
      <c r="I61" s="85">
        <f t="shared" si="5"/>
        <v>1333</v>
      </c>
      <c r="J61" s="3"/>
      <c r="K61" s="90">
        <f t="shared" si="6"/>
        <v>2100.3621287886376</v>
      </c>
      <c r="L61" s="90">
        <f t="shared" si="7"/>
        <v>0.33056952645435039</v>
      </c>
      <c r="M61" s="5">
        <f t="shared" si="16"/>
        <v>27778.562116348032</v>
      </c>
      <c r="N61" s="5">
        <f t="shared" si="8"/>
        <v>6093.0108762960954</v>
      </c>
      <c r="O61" s="90">
        <f t="shared" si="9"/>
        <v>23221.185373708649</v>
      </c>
      <c r="P61" s="90">
        <f t="shared" si="10"/>
        <v>190426.80175396171</v>
      </c>
      <c r="Q61" s="86">
        <f t="shared" si="11"/>
        <v>0.41552065486748313</v>
      </c>
      <c r="R61" s="90">
        <f t="shared" si="12"/>
        <v>7117.110283849388</v>
      </c>
      <c r="S61" s="90">
        <f t="shared" si="13"/>
        <v>114125.2582097666</v>
      </c>
      <c r="T61" s="19">
        <f t="shared" si="14"/>
        <v>25972.96867279752</v>
      </c>
      <c r="U61" s="17"/>
      <c r="V61" s="18"/>
    </row>
    <row r="62" spans="2:22" x14ac:dyDescent="0.3">
      <c r="B62" s="22">
        <f t="shared" si="0"/>
        <v>52232</v>
      </c>
      <c r="C62" s="49">
        <f t="shared" si="15"/>
        <v>19</v>
      </c>
      <c r="D62" s="49"/>
      <c r="E62" s="83">
        <f t="shared" si="1"/>
        <v>1489.5651096470128</v>
      </c>
      <c r="F62" s="83">
        <f t="shared" si="2"/>
        <v>2383.3041754352203</v>
      </c>
      <c r="G62" s="83">
        <f t="shared" si="3"/>
        <v>28897.563127152047</v>
      </c>
      <c r="H62" s="85">
        <f t="shared" si="4"/>
        <v>4000</v>
      </c>
      <c r="I62" s="85">
        <f t="shared" si="5"/>
        <v>1333</v>
      </c>
      <c r="J62" s="3"/>
      <c r="K62" s="90">
        <f t="shared" si="6"/>
        <v>2142.3693713644102</v>
      </c>
      <c r="L62" s="90">
        <f t="shared" si="7"/>
        <v>0.34048661224798094</v>
      </c>
      <c r="M62" s="5">
        <f t="shared" si="16"/>
        <v>28571.928979838474</v>
      </c>
      <c r="N62" s="5">
        <f t="shared" si="8"/>
        <v>6015.2386564466433</v>
      </c>
      <c r="O62" s="90">
        <f t="shared" si="9"/>
        <v>24046.255433038845</v>
      </c>
      <c r="P62" s="90">
        <f t="shared" si="10"/>
        <v>208457.81853055389</v>
      </c>
      <c r="Q62" s="86">
        <f t="shared" si="11"/>
        <v>0.39573395701665059</v>
      </c>
      <c r="R62" s="90">
        <f t="shared" si="12"/>
        <v>7135.4856180344441</v>
      </c>
      <c r="S62" s="90">
        <f t="shared" si="13"/>
        <v>121260.74382780105</v>
      </c>
      <c r="T62" s="19">
        <f t="shared" si="14"/>
        <v>33108.454290831964</v>
      </c>
      <c r="U62" s="17"/>
      <c r="V62" s="18"/>
    </row>
    <row r="63" spans="2:22" x14ac:dyDescent="0.3">
      <c r="B63" s="22">
        <f t="shared" si="0"/>
        <v>52597</v>
      </c>
      <c r="C63" s="49">
        <f t="shared" si="15"/>
        <v>20</v>
      </c>
      <c r="D63" s="49"/>
      <c r="E63" s="83">
        <f t="shared" si="1"/>
        <v>1444.8781563576024</v>
      </c>
      <c r="F63" s="83">
        <f t="shared" si="2"/>
        <v>2311.8050501721636</v>
      </c>
      <c r="G63" s="83">
        <f t="shared" si="3"/>
        <v>28030.636233337485</v>
      </c>
      <c r="H63" s="85">
        <f t="shared" si="4"/>
        <v>4000</v>
      </c>
      <c r="I63" s="85">
        <f t="shared" si="5"/>
        <v>1333</v>
      </c>
      <c r="J63" s="3"/>
      <c r="K63" s="90">
        <f t="shared" si="6"/>
        <v>2185.2167587916983</v>
      </c>
      <c r="L63" s="90">
        <f t="shared" si="7"/>
        <v>0.35070121061542037</v>
      </c>
      <c r="M63" s="5">
        <f t="shared" si="16"/>
        <v>29389.096849233629</v>
      </c>
      <c r="N63" s="5">
        <f t="shared" si="8"/>
        <v>33972.536198658949</v>
      </c>
      <c r="O63" s="90">
        <f t="shared" si="9"/>
        <v>24892.075040269767</v>
      </c>
      <c r="P63" s="90">
        <f t="shared" si="10"/>
        <v>199377.3573721647</v>
      </c>
      <c r="Q63" s="86">
        <f t="shared" si="11"/>
        <v>0.37688948287300061</v>
      </c>
      <c r="R63" s="106">
        <f>IF($C63="","",(O63-N63)*Q63)</f>
        <v>-3422.3303102336668</v>
      </c>
      <c r="S63" s="90">
        <f t="shared" si="13"/>
        <v>117838.41351756739</v>
      </c>
      <c r="T63" s="19">
        <f t="shared" si="14"/>
        <v>29686.123980598299</v>
      </c>
      <c r="U63" s="17"/>
      <c r="V63" s="18"/>
    </row>
    <row r="64" spans="2:22" x14ac:dyDescent="0.3">
      <c r="B64" s="22" t="str">
        <f t="shared" si="0"/>
        <v/>
      </c>
      <c r="C64" s="49" t="str">
        <f t="shared" si="15"/>
        <v/>
      </c>
      <c r="D64" s="49"/>
      <c r="E64" s="83" t="str">
        <f t="shared" si="1"/>
        <v/>
      </c>
      <c r="F64" s="83" t="str">
        <f t="shared" ref="F64:F93" si="17">IF($C64="","",IF(C64&lt;$D$15,G63*$D$12,0))</f>
        <v/>
      </c>
      <c r="G64" s="83" t="str">
        <f t="shared" si="3"/>
        <v/>
      </c>
      <c r="H64" s="85" t="str">
        <f t="shared" si="4"/>
        <v/>
      </c>
      <c r="I64" s="85" t="str">
        <f t="shared" si="5"/>
        <v/>
      </c>
      <c r="J64" s="3"/>
      <c r="K64" s="90" t="str">
        <f t="shared" si="6"/>
        <v/>
      </c>
      <c r="L64" s="90" t="str">
        <f t="shared" si="7"/>
        <v/>
      </c>
      <c r="M64" s="5" t="str">
        <f t="shared" si="16"/>
        <v/>
      </c>
      <c r="N64" s="5" t="str">
        <f t="shared" si="8"/>
        <v/>
      </c>
      <c r="O64" s="90" t="str">
        <f t="shared" si="9"/>
        <v/>
      </c>
      <c r="P64" s="90" t="str">
        <f t="shared" si="10"/>
        <v/>
      </c>
      <c r="Q64" s="86" t="str">
        <f t="shared" si="11"/>
        <v/>
      </c>
      <c r="R64" s="90" t="str">
        <f t="shared" si="12"/>
        <v/>
      </c>
      <c r="S64" s="90" t="str">
        <f t="shared" si="13"/>
        <v/>
      </c>
      <c r="T64" s="19" t="str">
        <f t="shared" si="14"/>
        <v/>
      </c>
      <c r="U64" s="17"/>
      <c r="V64" s="18"/>
    </row>
    <row r="65" spans="2:20" x14ac:dyDescent="0.3">
      <c r="B65" s="22" t="str">
        <f t="shared" si="0"/>
        <v/>
      </c>
      <c r="C65" s="49" t="str">
        <f t="shared" si="15"/>
        <v/>
      </c>
      <c r="D65" s="49"/>
      <c r="E65" s="83" t="str">
        <f t="shared" si="1"/>
        <v/>
      </c>
      <c r="F65" s="83" t="str">
        <f t="shared" si="17"/>
        <v/>
      </c>
      <c r="G65" s="83" t="str">
        <f t="shared" si="3"/>
        <v/>
      </c>
      <c r="H65" s="85" t="str">
        <f t="shared" si="4"/>
        <v/>
      </c>
      <c r="I65" s="85" t="str">
        <f t="shared" si="5"/>
        <v/>
      </c>
      <c r="J65" s="3"/>
      <c r="K65" s="90" t="str">
        <f t="shared" si="6"/>
        <v/>
      </c>
      <c r="L65" s="90" t="str">
        <f t="shared" si="7"/>
        <v/>
      </c>
      <c r="M65" s="5" t="str">
        <f t="shared" si="16"/>
        <v/>
      </c>
      <c r="N65" s="5" t="str">
        <f t="shared" si="8"/>
        <v/>
      </c>
      <c r="O65" s="90" t="str">
        <f t="shared" si="9"/>
        <v/>
      </c>
      <c r="P65" s="90" t="str">
        <f t="shared" si="10"/>
        <v/>
      </c>
      <c r="Q65" s="86" t="str">
        <f t="shared" si="11"/>
        <v/>
      </c>
      <c r="R65" s="90" t="str">
        <f t="shared" si="12"/>
        <v/>
      </c>
      <c r="S65" s="90" t="str">
        <f t="shared" si="13"/>
        <v/>
      </c>
      <c r="T65" s="19" t="str">
        <f t="shared" si="14"/>
        <v/>
      </c>
    </row>
    <row r="66" spans="2:20" x14ac:dyDescent="0.3">
      <c r="B66" s="22" t="str">
        <f t="shared" si="0"/>
        <v/>
      </c>
      <c r="C66" s="49" t="str">
        <f t="shared" si="15"/>
        <v/>
      </c>
      <c r="D66" s="49"/>
      <c r="E66" s="83" t="str">
        <f t="shared" si="1"/>
        <v/>
      </c>
      <c r="F66" s="83" t="str">
        <f t="shared" si="17"/>
        <v/>
      </c>
      <c r="G66" s="83" t="str">
        <f t="shared" si="3"/>
        <v/>
      </c>
      <c r="H66" s="85" t="str">
        <f t="shared" si="4"/>
        <v/>
      </c>
      <c r="I66" s="85" t="str">
        <f t="shared" si="5"/>
        <v/>
      </c>
      <c r="J66" s="3"/>
      <c r="K66" s="90" t="str">
        <f t="shared" si="6"/>
        <v/>
      </c>
      <c r="L66" s="90" t="str">
        <f t="shared" si="7"/>
        <v/>
      </c>
      <c r="M66" s="5" t="str">
        <f t="shared" si="16"/>
        <v/>
      </c>
      <c r="N66" s="5" t="str">
        <f t="shared" si="8"/>
        <v/>
      </c>
      <c r="O66" s="90" t="str">
        <f t="shared" si="9"/>
        <v/>
      </c>
      <c r="P66" s="90" t="str">
        <f t="shared" si="10"/>
        <v/>
      </c>
      <c r="Q66" s="86" t="str">
        <f t="shared" si="11"/>
        <v/>
      </c>
      <c r="R66" s="90" t="str">
        <f t="shared" si="12"/>
        <v/>
      </c>
      <c r="S66" s="90" t="str">
        <f t="shared" si="13"/>
        <v/>
      </c>
      <c r="T66" s="19" t="str">
        <f t="shared" si="14"/>
        <v/>
      </c>
    </row>
    <row r="67" spans="2:20" x14ac:dyDescent="0.3">
      <c r="B67" s="22" t="str">
        <f t="shared" si="0"/>
        <v/>
      </c>
      <c r="C67" s="49" t="str">
        <f t="shared" si="15"/>
        <v/>
      </c>
      <c r="D67" s="49"/>
      <c r="E67" s="83" t="str">
        <f t="shared" si="1"/>
        <v/>
      </c>
      <c r="F67" s="83" t="str">
        <f t="shared" si="17"/>
        <v/>
      </c>
      <c r="G67" s="83" t="str">
        <f t="shared" si="3"/>
        <v/>
      </c>
      <c r="H67" s="85" t="str">
        <f t="shared" si="4"/>
        <v/>
      </c>
      <c r="I67" s="85" t="str">
        <f t="shared" si="5"/>
        <v/>
      </c>
      <c r="J67" s="3"/>
      <c r="K67" s="90" t="str">
        <f t="shared" si="6"/>
        <v/>
      </c>
      <c r="L67" s="90" t="str">
        <f t="shared" si="7"/>
        <v/>
      </c>
      <c r="M67" s="5" t="str">
        <f t="shared" si="16"/>
        <v/>
      </c>
      <c r="N67" s="5" t="str">
        <f t="shared" si="8"/>
        <v/>
      </c>
      <c r="O67" s="90" t="str">
        <f t="shared" si="9"/>
        <v/>
      </c>
      <c r="P67" s="90" t="str">
        <f t="shared" si="10"/>
        <v/>
      </c>
      <c r="Q67" s="86" t="str">
        <f t="shared" si="11"/>
        <v/>
      </c>
      <c r="R67" s="90" t="str">
        <f t="shared" si="12"/>
        <v/>
      </c>
      <c r="S67" s="90" t="str">
        <f t="shared" si="13"/>
        <v/>
      </c>
      <c r="T67" s="19" t="str">
        <f t="shared" si="14"/>
        <v/>
      </c>
    </row>
    <row r="68" spans="2:20" x14ac:dyDescent="0.3">
      <c r="B68" s="22" t="str">
        <f t="shared" si="0"/>
        <v/>
      </c>
      <c r="C68" s="49" t="str">
        <f t="shared" si="15"/>
        <v/>
      </c>
      <c r="D68" s="49"/>
      <c r="E68" s="83" t="str">
        <f t="shared" si="1"/>
        <v/>
      </c>
      <c r="F68" s="83" t="str">
        <f t="shared" si="17"/>
        <v/>
      </c>
      <c r="G68" s="83" t="str">
        <f t="shared" si="3"/>
        <v/>
      </c>
      <c r="H68" s="85" t="str">
        <f t="shared" si="4"/>
        <v/>
      </c>
      <c r="I68" s="85" t="str">
        <f t="shared" si="5"/>
        <v/>
      </c>
      <c r="J68" s="3"/>
      <c r="K68" s="90" t="str">
        <f t="shared" si="6"/>
        <v/>
      </c>
      <c r="L68" s="90" t="str">
        <f t="shared" si="7"/>
        <v/>
      </c>
      <c r="M68" s="5" t="str">
        <f t="shared" si="16"/>
        <v/>
      </c>
      <c r="N68" s="5" t="str">
        <f t="shared" si="8"/>
        <v/>
      </c>
      <c r="O68" s="90" t="str">
        <f t="shared" si="9"/>
        <v/>
      </c>
      <c r="P68" s="90" t="str">
        <f t="shared" si="10"/>
        <v/>
      </c>
      <c r="Q68" s="86" t="str">
        <f t="shared" si="11"/>
        <v/>
      </c>
      <c r="R68" s="90" t="str">
        <f t="shared" si="12"/>
        <v/>
      </c>
      <c r="S68" s="90" t="str">
        <f t="shared" si="13"/>
        <v/>
      </c>
      <c r="T68" s="19" t="str">
        <f t="shared" si="14"/>
        <v/>
      </c>
    </row>
    <row r="69" spans="2:20" x14ac:dyDescent="0.3">
      <c r="B69" s="22" t="str">
        <f t="shared" si="0"/>
        <v/>
      </c>
      <c r="C69" s="49" t="str">
        <f t="shared" si="15"/>
        <v/>
      </c>
      <c r="D69" s="49"/>
      <c r="E69" s="83" t="str">
        <f t="shared" si="1"/>
        <v/>
      </c>
      <c r="F69" s="83" t="str">
        <f t="shared" si="17"/>
        <v/>
      </c>
      <c r="G69" s="83" t="str">
        <f t="shared" si="3"/>
        <v/>
      </c>
      <c r="H69" s="85" t="str">
        <f t="shared" si="4"/>
        <v/>
      </c>
      <c r="I69" s="85" t="str">
        <f t="shared" si="5"/>
        <v/>
      </c>
      <c r="J69" s="3"/>
      <c r="K69" s="90" t="str">
        <f t="shared" si="6"/>
        <v/>
      </c>
      <c r="L69" s="90" t="str">
        <f t="shared" si="7"/>
        <v/>
      </c>
      <c r="M69" s="5" t="str">
        <f t="shared" si="16"/>
        <v/>
      </c>
      <c r="N69" s="5" t="str">
        <f t="shared" si="8"/>
        <v/>
      </c>
      <c r="O69" s="90" t="str">
        <f t="shared" si="9"/>
        <v/>
      </c>
      <c r="P69" s="90" t="str">
        <f t="shared" si="10"/>
        <v/>
      </c>
      <c r="Q69" s="86" t="str">
        <f t="shared" si="11"/>
        <v/>
      </c>
      <c r="R69" s="90" t="str">
        <f t="shared" si="12"/>
        <v/>
      </c>
      <c r="S69" s="90" t="str">
        <f t="shared" si="13"/>
        <v/>
      </c>
      <c r="T69" s="19" t="str">
        <f t="shared" si="14"/>
        <v/>
      </c>
    </row>
    <row r="70" spans="2:20" x14ac:dyDescent="0.3">
      <c r="B70" s="22" t="str">
        <f t="shared" si="0"/>
        <v/>
      </c>
      <c r="C70" s="49" t="str">
        <f t="shared" si="15"/>
        <v/>
      </c>
      <c r="D70" s="49"/>
      <c r="E70" s="83" t="str">
        <f t="shared" si="1"/>
        <v/>
      </c>
      <c r="F70" s="83" t="str">
        <f t="shared" si="17"/>
        <v/>
      </c>
      <c r="G70" s="83" t="str">
        <f t="shared" si="3"/>
        <v/>
      </c>
      <c r="H70" s="85" t="str">
        <f t="shared" si="4"/>
        <v/>
      </c>
      <c r="I70" s="85" t="str">
        <f t="shared" si="5"/>
        <v/>
      </c>
      <c r="J70" s="3"/>
      <c r="K70" s="90" t="str">
        <f t="shared" si="6"/>
        <v/>
      </c>
      <c r="L70" s="90" t="str">
        <f t="shared" si="7"/>
        <v/>
      </c>
      <c r="M70" s="5" t="str">
        <f t="shared" si="16"/>
        <v/>
      </c>
      <c r="N70" s="5" t="str">
        <f t="shared" si="8"/>
        <v/>
      </c>
      <c r="O70" s="90" t="str">
        <f t="shared" si="9"/>
        <v/>
      </c>
      <c r="P70" s="90" t="str">
        <f t="shared" si="10"/>
        <v/>
      </c>
      <c r="Q70" s="86" t="str">
        <f t="shared" si="11"/>
        <v/>
      </c>
      <c r="R70" s="90" t="str">
        <f t="shared" si="12"/>
        <v/>
      </c>
      <c r="S70" s="90" t="str">
        <f t="shared" si="13"/>
        <v/>
      </c>
      <c r="T70" s="19" t="str">
        <f t="shared" si="14"/>
        <v/>
      </c>
    </row>
    <row r="71" spans="2:20" x14ac:dyDescent="0.3">
      <c r="B71" s="22" t="str">
        <f t="shared" si="0"/>
        <v/>
      </c>
      <c r="C71" s="49" t="str">
        <f t="shared" si="15"/>
        <v/>
      </c>
      <c r="D71" s="49"/>
      <c r="E71" s="83" t="str">
        <f t="shared" si="1"/>
        <v/>
      </c>
      <c r="F71" s="83" t="str">
        <f t="shared" si="17"/>
        <v/>
      </c>
      <c r="G71" s="83" t="str">
        <f t="shared" si="3"/>
        <v/>
      </c>
      <c r="H71" s="85" t="str">
        <f t="shared" si="4"/>
        <v/>
      </c>
      <c r="I71" s="85" t="str">
        <f t="shared" si="5"/>
        <v/>
      </c>
      <c r="J71" s="3"/>
      <c r="K71" s="90" t="str">
        <f t="shared" si="6"/>
        <v/>
      </c>
      <c r="L71" s="90" t="str">
        <f t="shared" si="7"/>
        <v/>
      </c>
      <c r="M71" s="5" t="str">
        <f t="shared" si="16"/>
        <v/>
      </c>
      <c r="N71" s="5" t="str">
        <f t="shared" si="8"/>
        <v/>
      </c>
      <c r="O71" s="90" t="str">
        <f t="shared" si="9"/>
        <v/>
      </c>
      <c r="P71" s="90" t="str">
        <f t="shared" si="10"/>
        <v/>
      </c>
      <c r="Q71" s="86" t="str">
        <f t="shared" si="11"/>
        <v/>
      </c>
      <c r="R71" s="90" t="str">
        <f t="shared" si="12"/>
        <v/>
      </c>
      <c r="S71" s="90" t="str">
        <f t="shared" si="13"/>
        <v/>
      </c>
      <c r="T71" s="19" t="str">
        <f t="shared" si="14"/>
        <v/>
      </c>
    </row>
    <row r="72" spans="2:20" x14ac:dyDescent="0.3">
      <c r="B72" s="22" t="str">
        <f t="shared" si="0"/>
        <v/>
      </c>
      <c r="C72" s="49" t="str">
        <f t="shared" si="15"/>
        <v/>
      </c>
      <c r="D72" s="49"/>
      <c r="E72" s="83" t="str">
        <f t="shared" si="1"/>
        <v/>
      </c>
      <c r="F72" s="83" t="str">
        <f t="shared" si="17"/>
        <v/>
      </c>
      <c r="G72" s="83" t="str">
        <f t="shared" si="3"/>
        <v/>
      </c>
      <c r="H72" s="85" t="str">
        <f t="shared" si="4"/>
        <v/>
      </c>
      <c r="I72" s="85" t="str">
        <f t="shared" si="5"/>
        <v/>
      </c>
      <c r="J72" s="3"/>
      <c r="K72" s="90" t="str">
        <f t="shared" si="6"/>
        <v/>
      </c>
      <c r="L72" s="90" t="str">
        <f t="shared" si="7"/>
        <v/>
      </c>
      <c r="M72" s="5" t="str">
        <f t="shared" si="16"/>
        <v/>
      </c>
      <c r="N72" s="5" t="str">
        <f t="shared" si="8"/>
        <v/>
      </c>
      <c r="O72" s="90" t="str">
        <f t="shared" si="9"/>
        <v/>
      </c>
      <c r="P72" s="90" t="str">
        <f t="shared" si="10"/>
        <v/>
      </c>
      <c r="Q72" s="86" t="str">
        <f t="shared" si="11"/>
        <v/>
      </c>
      <c r="R72" s="90" t="str">
        <f t="shared" si="12"/>
        <v/>
      </c>
      <c r="S72" s="90" t="str">
        <f t="shared" si="13"/>
        <v/>
      </c>
      <c r="T72" s="19" t="str">
        <f t="shared" si="14"/>
        <v/>
      </c>
    </row>
    <row r="73" spans="2:20" x14ac:dyDescent="0.3">
      <c r="B73" s="22" t="str">
        <f t="shared" si="0"/>
        <v/>
      </c>
      <c r="C73" s="49" t="str">
        <f t="shared" si="15"/>
        <v/>
      </c>
      <c r="D73" s="49"/>
      <c r="E73" s="83" t="str">
        <f t="shared" si="1"/>
        <v/>
      </c>
      <c r="F73" s="83" t="str">
        <f t="shared" si="17"/>
        <v/>
      </c>
      <c r="G73" s="83" t="str">
        <f t="shared" si="3"/>
        <v/>
      </c>
      <c r="H73" s="85" t="str">
        <f t="shared" si="4"/>
        <v/>
      </c>
      <c r="I73" s="85" t="str">
        <f t="shared" si="5"/>
        <v/>
      </c>
      <c r="J73" s="3"/>
      <c r="K73" s="90" t="str">
        <f t="shared" si="6"/>
        <v/>
      </c>
      <c r="L73" s="90" t="str">
        <f t="shared" si="7"/>
        <v/>
      </c>
      <c r="M73" s="5" t="str">
        <f t="shared" si="16"/>
        <v/>
      </c>
      <c r="N73" s="5" t="str">
        <f t="shared" si="8"/>
        <v/>
      </c>
      <c r="O73" s="90" t="str">
        <f t="shared" si="9"/>
        <v/>
      </c>
      <c r="P73" s="90" t="str">
        <f t="shared" si="10"/>
        <v/>
      </c>
      <c r="Q73" s="86" t="str">
        <f t="shared" si="11"/>
        <v/>
      </c>
      <c r="R73" s="90" t="str">
        <f t="shared" si="12"/>
        <v/>
      </c>
      <c r="S73" s="90" t="str">
        <f t="shared" si="13"/>
        <v/>
      </c>
      <c r="T73" s="19" t="str">
        <f t="shared" si="14"/>
        <v/>
      </c>
    </row>
    <row r="74" spans="2:20" x14ac:dyDescent="0.3">
      <c r="B74" s="22" t="str">
        <f t="shared" si="0"/>
        <v/>
      </c>
      <c r="C74" s="49" t="str">
        <f t="shared" si="15"/>
        <v/>
      </c>
      <c r="D74" s="49"/>
      <c r="E74" s="83" t="str">
        <f t="shared" si="1"/>
        <v/>
      </c>
      <c r="F74" s="83" t="str">
        <f t="shared" si="17"/>
        <v/>
      </c>
      <c r="G74" s="83" t="str">
        <f t="shared" si="3"/>
        <v/>
      </c>
      <c r="H74" s="85" t="str">
        <f t="shared" si="4"/>
        <v/>
      </c>
      <c r="I74" s="85" t="str">
        <f t="shared" si="5"/>
        <v/>
      </c>
      <c r="J74" s="3"/>
      <c r="K74" s="90" t="str">
        <f t="shared" ref="K74:K93" si="18">IF($C74="","",K73*(1+D$22))</f>
        <v/>
      </c>
      <c r="L74" s="90" t="str">
        <f t="shared" ref="L74:L93" si="19">IF($C74="","",L73*(1+D$21))</f>
        <v/>
      </c>
      <c r="M74" s="5" t="str">
        <f t="shared" ref="M74:M93" si="20">IF($C74="","",D$19*L74+I74)</f>
        <v/>
      </c>
      <c r="N74" s="5" t="str">
        <f t="shared" ref="N74:N93" si="21">IF($C74="","",E74+F74+K74+IF(C74=$D$15,G74,0))</f>
        <v/>
      </c>
      <c r="O74" s="90" t="str">
        <f t="shared" ref="O74:O93" si="22">IF($C74="","",M74-K74-F74)</f>
        <v/>
      </c>
      <c r="P74" s="90" t="str">
        <f t="shared" ref="P74:P93" si="23">IF($C74="","",P73+O74-N74)</f>
        <v/>
      </c>
      <c r="Q74" s="86" t="str">
        <f t="shared" ref="Q74:Q93" si="24">IF($C74="","",1/(1+D$17)^(C74))</f>
        <v/>
      </c>
      <c r="R74" s="90" t="str">
        <f t="shared" ref="R74:R93" si="25">IF($C74="","",(O74-N74)*Q74)</f>
        <v/>
      </c>
      <c r="S74" s="90" t="str">
        <f t="shared" ref="S74:S93" si="26">IF($C74="","",S73+R74)</f>
        <v/>
      </c>
      <c r="T74" s="19" t="str">
        <f t="shared" ref="T74:T93" si="27">IF($C74="","",T73+R74)</f>
        <v/>
      </c>
    </row>
    <row r="75" spans="2:20" x14ac:dyDescent="0.3">
      <c r="B75" s="22" t="str">
        <f t="shared" si="0"/>
        <v/>
      </c>
      <c r="C75" s="49" t="str">
        <f t="shared" si="15"/>
        <v/>
      </c>
      <c r="D75" s="49"/>
      <c r="E75" s="83" t="str">
        <f t="shared" si="1"/>
        <v/>
      </c>
      <c r="F75" s="83" t="str">
        <f t="shared" si="17"/>
        <v/>
      </c>
      <c r="G75" s="83" t="str">
        <f t="shared" si="3"/>
        <v/>
      </c>
      <c r="H75" s="85" t="str">
        <f t="shared" si="4"/>
        <v/>
      </c>
      <c r="I75" s="85" t="str">
        <f t="shared" si="5"/>
        <v/>
      </c>
      <c r="J75" s="3"/>
      <c r="K75" s="90" t="str">
        <f t="shared" si="18"/>
        <v/>
      </c>
      <c r="L75" s="90" t="str">
        <f t="shared" si="19"/>
        <v/>
      </c>
      <c r="M75" s="5" t="str">
        <f t="shared" si="20"/>
        <v/>
      </c>
      <c r="N75" s="5" t="str">
        <f t="shared" si="21"/>
        <v/>
      </c>
      <c r="O75" s="90" t="str">
        <f t="shared" si="22"/>
        <v/>
      </c>
      <c r="P75" s="90" t="str">
        <f t="shared" si="23"/>
        <v/>
      </c>
      <c r="Q75" s="86" t="str">
        <f t="shared" si="24"/>
        <v/>
      </c>
      <c r="R75" s="90" t="str">
        <f t="shared" si="25"/>
        <v/>
      </c>
      <c r="S75" s="90" t="str">
        <f t="shared" si="26"/>
        <v/>
      </c>
      <c r="T75" s="19" t="str">
        <f t="shared" si="27"/>
        <v/>
      </c>
    </row>
    <row r="76" spans="2:20" x14ac:dyDescent="0.3">
      <c r="B76" s="22" t="str">
        <f t="shared" si="0"/>
        <v/>
      </c>
      <c r="C76" s="49" t="str">
        <f t="shared" si="15"/>
        <v/>
      </c>
      <c r="D76" s="49"/>
      <c r="E76" s="83" t="str">
        <f t="shared" si="1"/>
        <v/>
      </c>
      <c r="F76" s="83" t="str">
        <f t="shared" si="17"/>
        <v/>
      </c>
      <c r="G76" s="83" t="str">
        <f t="shared" si="3"/>
        <v/>
      </c>
      <c r="H76" s="85" t="str">
        <f t="shared" si="4"/>
        <v/>
      </c>
      <c r="I76" s="85" t="str">
        <f t="shared" si="5"/>
        <v/>
      </c>
      <c r="J76" s="3"/>
      <c r="K76" s="90" t="str">
        <f t="shared" si="18"/>
        <v/>
      </c>
      <c r="L76" s="90" t="str">
        <f t="shared" si="19"/>
        <v/>
      </c>
      <c r="M76" s="5" t="str">
        <f t="shared" si="20"/>
        <v/>
      </c>
      <c r="N76" s="5" t="str">
        <f t="shared" si="21"/>
        <v/>
      </c>
      <c r="O76" s="90" t="str">
        <f t="shared" si="22"/>
        <v/>
      </c>
      <c r="P76" s="90" t="str">
        <f t="shared" si="23"/>
        <v/>
      </c>
      <c r="Q76" s="86" t="str">
        <f t="shared" si="24"/>
        <v/>
      </c>
      <c r="R76" s="90" t="str">
        <f t="shared" si="25"/>
        <v/>
      </c>
      <c r="S76" s="90" t="str">
        <f t="shared" si="26"/>
        <v/>
      </c>
      <c r="T76" s="19" t="str">
        <f t="shared" si="27"/>
        <v/>
      </c>
    </row>
    <row r="77" spans="2:20" x14ac:dyDescent="0.3">
      <c r="B77" s="22" t="str">
        <f t="shared" si="0"/>
        <v/>
      </c>
      <c r="C77" s="49" t="str">
        <f t="shared" si="15"/>
        <v/>
      </c>
      <c r="D77" s="49"/>
      <c r="E77" s="83" t="str">
        <f t="shared" si="1"/>
        <v/>
      </c>
      <c r="F77" s="83" t="str">
        <f t="shared" si="17"/>
        <v/>
      </c>
      <c r="G77" s="83" t="str">
        <f t="shared" si="3"/>
        <v/>
      </c>
      <c r="H77" s="85" t="str">
        <f t="shared" si="4"/>
        <v/>
      </c>
      <c r="I77" s="85" t="str">
        <f t="shared" si="5"/>
        <v/>
      </c>
      <c r="J77" s="3"/>
      <c r="K77" s="90" t="str">
        <f t="shared" si="18"/>
        <v/>
      </c>
      <c r="L77" s="90" t="str">
        <f t="shared" si="19"/>
        <v/>
      </c>
      <c r="M77" s="5" t="str">
        <f t="shared" si="20"/>
        <v/>
      </c>
      <c r="N77" s="5" t="str">
        <f t="shared" si="21"/>
        <v/>
      </c>
      <c r="O77" s="90" t="str">
        <f t="shared" si="22"/>
        <v/>
      </c>
      <c r="P77" s="90" t="str">
        <f t="shared" si="23"/>
        <v/>
      </c>
      <c r="Q77" s="86" t="str">
        <f t="shared" si="24"/>
        <v/>
      </c>
      <c r="R77" s="90" t="str">
        <f t="shared" si="25"/>
        <v/>
      </c>
      <c r="S77" s="90" t="str">
        <f t="shared" si="26"/>
        <v/>
      </c>
      <c r="T77" s="19" t="str">
        <f t="shared" si="27"/>
        <v/>
      </c>
    </row>
    <row r="78" spans="2:20" x14ac:dyDescent="0.3">
      <c r="B78" s="22" t="str">
        <f t="shared" si="0"/>
        <v/>
      </c>
      <c r="C78" s="49" t="str">
        <f t="shared" si="15"/>
        <v/>
      </c>
      <c r="D78" s="49"/>
      <c r="E78" s="83" t="str">
        <f t="shared" si="1"/>
        <v/>
      </c>
      <c r="F78" s="83" t="str">
        <f t="shared" si="17"/>
        <v/>
      </c>
      <c r="G78" s="83" t="str">
        <f t="shared" si="3"/>
        <v/>
      </c>
      <c r="H78" s="85" t="str">
        <f t="shared" si="4"/>
        <v/>
      </c>
      <c r="I78" s="85" t="str">
        <f t="shared" si="5"/>
        <v/>
      </c>
      <c r="J78" s="3"/>
      <c r="K78" s="90" t="str">
        <f t="shared" si="18"/>
        <v/>
      </c>
      <c r="L78" s="90" t="str">
        <f t="shared" si="19"/>
        <v/>
      </c>
      <c r="M78" s="5" t="str">
        <f t="shared" si="20"/>
        <v/>
      </c>
      <c r="N78" s="5" t="str">
        <f t="shared" si="21"/>
        <v/>
      </c>
      <c r="O78" s="90" t="str">
        <f t="shared" si="22"/>
        <v/>
      </c>
      <c r="P78" s="90" t="str">
        <f t="shared" si="23"/>
        <v/>
      </c>
      <c r="Q78" s="86" t="str">
        <f t="shared" si="24"/>
        <v/>
      </c>
      <c r="R78" s="90" t="str">
        <f t="shared" si="25"/>
        <v/>
      </c>
      <c r="S78" s="90" t="str">
        <f t="shared" si="26"/>
        <v/>
      </c>
      <c r="T78" s="19" t="str">
        <f t="shared" si="27"/>
        <v/>
      </c>
    </row>
    <row r="79" spans="2:20" x14ac:dyDescent="0.3">
      <c r="B79" s="22" t="str">
        <f t="shared" si="0"/>
        <v/>
      </c>
      <c r="C79" s="49" t="str">
        <f t="shared" si="15"/>
        <v/>
      </c>
      <c r="D79" s="49"/>
      <c r="E79" s="83" t="str">
        <f t="shared" si="1"/>
        <v/>
      </c>
      <c r="F79" s="83" t="str">
        <f t="shared" si="17"/>
        <v/>
      </c>
      <c r="G79" s="83" t="str">
        <f t="shared" si="3"/>
        <v/>
      </c>
      <c r="H79" s="85" t="str">
        <f t="shared" si="4"/>
        <v/>
      </c>
      <c r="I79" s="85" t="str">
        <f t="shared" si="5"/>
        <v/>
      </c>
      <c r="J79" s="3"/>
      <c r="K79" s="90" t="str">
        <f t="shared" si="18"/>
        <v/>
      </c>
      <c r="L79" s="90" t="str">
        <f t="shared" si="19"/>
        <v/>
      </c>
      <c r="M79" s="5" t="str">
        <f t="shared" si="20"/>
        <v/>
      </c>
      <c r="N79" s="5" t="str">
        <f t="shared" si="21"/>
        <v/>
      </c>
      <c r="O79" s="90" t="str">
        <f t="shared" si="22"/>
        <v/>
      </c>
      <c r="P79" s="90" t="str">
        <f t="shared" si="23"/>
        <v/>
      </c>
      <c r="Q79" s="86" t="str">
        <f t="shared" si="24"/>
        <v/>
      </c>
      <c r="R79" s="90" t="str">
        <f t="shared" si="25"/>
        <v/>
      </c>
      <c r="S79" s="90" t="str">
        <f t="shared" si="26"/>
        <v/>
      </c>
      <c r="T79" s="19" t="str">
        <f t="shared" si="27"/>
        <v/>
      </c>
    </row>
    <row r="80" spans="2:20" x14ac:dyDescent="0.3">
      <c r="B80" s="22" t="str">
        <f t="shared" si="0"/>
        <v/>
      </c>
      <c r="C80" s="49" t="str">
        <f t="shared" si="15"/>
        <v/>
      </c>
      <c r="D80" s="49"/>
      <c r="E80" s="83" t="str">
        <f t="shared" si="1"/>
        <v/>
      </c>
      <c r="F80" s="83" t="str">
        <f t="shared" si="17"/>
        <v/>
      </c>
      <c r="G80" s="83" t="str">
        <f t="shared" si="3"/>
        <v/>
      </c>
      <c r="H80" s="85" t="str">
        <f t="shared" si="4"/>
        <v/>
      </c>
      <c r="I80" s="85" t="str">
        <f t="shared" si="5"/>
        <v/>
      </c>
      <c r="J80" s="3"/>
      <c r="K80" s="90" t="str">
        <f t="shared" si="18"/>
        <v/>
      </c>
      <c r="L80" s="90" t="str">
        <f t="shared" si="19"/>
        <v/>
      </c>
      <c r="M80" s="5" t="str">
        <f t="shared" si="20"/>
        <v/>
      </c>
      <c r="N80" s="5" t="str">
        <f t="shared" si="21"/>
        <v/>
      </c>
      <c r="O80" s="90" t="str">
        <f t="shared" si="22"/>
        <v/>
      </c>
      <c r="P80" s="90" t="str">
        <f t="shared" si="23"/>
        <v/>
      </c>
      <c r="Q80" s="86" t="str">
        <f t="shared" si="24"/>
        <v/>
      </c>
      <c r="R80" s="90" t="str">
        <f t="shared" si="25"/>
        <v/>
      </c>
      <c r="S80" s="90" t="str">
        <f t="shared" si="26"/>
        <v/>
      </c>
      <c r="T80" s="19" t="str">
        <f t="shared" si="27"/>
        <v/>
      </c>
    </row>
    <row r="81" spans="2:20" x14ac:dyDescent="0.3">
      <c r="B81" s="22" t="str">
        <f t="shared" si="0"/>
        <v/>
      </c>
      <c r="C81" s="49" t="str">
        <f t="shared" si="15"/>
        <v/>
      </c>
      <c r="D81" s="49"/>
      <c r="E81" s="83" t="str">
        <f t="shared" si="1"/>
        <v/>
      </c>
      <c r="F81" s="83" t="str">
        <f t="shared" si="17"/>
        <v/>
      </c>
      <c r="G81" s="83" t="str">
        <f t="shared" si="3"/>
        <v/>
      </c>
      <c r="H81" s="85" t="str">
        <f t="shared" si="4"/>
        <v/>
      </c>
      <c r="I81" s="85" t="str">
        <f t="shared" si="5"/>
        <v/>
      </c>
      <c r="J81" s="3"/>
      <c r="K81" s="90" t="str">
        <f t="shared" si="18"/>
        <v/>
      </c>
      <c r="L81" s="90" t="str">
        <f t="shared" si="19"/>
        <v/>
      </c>
      <c r="M81" s="5" t="str">
        <f t="shared" si="20"/>
        <v/>
      </c>
      <c r="N81" s="5" t="str">
        <f t="shared" si="21"/>
        <v/>
      </c>
      <c r="O81" s="90" t="str">
        <f t="shared" si="22"/>
        <v/>
      </c>
      <c r="P81" s="90" t="str">
        <f t="shared" si="23"/>
        <v/>
      </c>
      <c r="Q81" s="86" t="str">
        <f t="shared" si="24"/>
        <v/>
      </c>
      <c r="R81" s="90" t="str">
        <f t="shared" si="25"/>
        <v/>
      </c>
      <c r="S81" s="90" t="str">
        <f t="shared" si="26"/>
        <v/>
      </c>
      <c r="T81" s="19" t="str">
        <f t="shared" si="27"/>
        <v/>
      </c>
    </row>
    <row r="82" spans="2:20" x14ac:dyDescent="0.3">
      <c r="B82" s="22" t="str">
        <f t="shared" si="0"/>
        <v/>
      </c>
      <c r="C82" s="49" t="str">
        <f t="shared" si="15"/>
        <v/>
      </c>
      <c r="D82" s="49"/>
      <c r="E82" s="83" t="str">
        <f t="shared" si="1"/>
        <v/>
      </c>
      <c r="F82" s="83" t="str">
        <f t="shared" si="17"/>
        <v/>
      </c>
      <c r="G82" s="83" t="str">
        <f t="shared" si="3"/>
        <v/>
      </c>
      <c r="H82" s="85" t="str">
        <f t="shared" si="4"/>
        <v/>
      </c>
      <c r="I82" s="85" t="str">
        <f t="shared" si="5"/>
        <v/>
      </c>
      <c r="J82" s="3"/>
      <c r="K82" s="90" t="str">
        <f t="shared" si="18"/>
        <v/>
      </c>
      <c r="L82" s="90" t="str">
        <f t="shared" si="19"/>
        <v/>
      </c>
      <c r="M82" s="5" t="str">
        <f t="shared" si="20"/>
        <v/>
      </c>
      <c r="N82" s="5" t="str">
        <f t="shared" si="21"/>
        <v/>
      </c>
      <c r="O82" s="90" t="str">
        <f t="shared" si="22"/>
        <v/>
      </c>
      <c r="P82" s="90" t="str">
        <f t="shared" si="23"/>
        <v/>
      </c>
      <c r="Q82" s="86" t="str">
        <f t="shared" si="24"/>
        <v/>
      </c>
      <c r="R82" s="90" t="str">
        <f t="shared" si="25"/>
        <v/>
      </c>
      <c r="S82" s="90" t="str">
        <f t="shared" si="26"/>
        <v/>
      </c>
      <c r="T82" s="19" t="str">
        <f t="shared" si="27"/>
        <v/>
      </c>
    </row>
    <row r="83" spans="2:20" x14ac:dyDescent="0.3">
      <c r="B83" s="22" t="str">
        <f t="shared" si="0"/>
        <v/>
      </c>
      <c r="C83" s="49" t="str">
        <f t="shared" si="15"/>
        <v/>
      </c>
      <c r="D83" s="49"/>
      <c r="E83" s="83" t="str">
        <f t="shared" si="1"/>
        <v/>
      </c>
      <c r="F83" s="83" t="str">
        <f t="shared" si="17"/>
        <v/>
      </c>
      <c r="G83" s="83" t="str">
        <f t="shared" si="3"/>
        <v/>
      </c>
      <c r="H83" s="85" t="str">
        <f t="shared" si="4"/>
        <v/>
      </c>
      <c r="I83" s="85" t="str">
        <f t="shared" si="5"/>
        <v/>
      </c>
      <c r="J83" s="3"/>
      <c r="K83" s="90" t="str">
        <f t="shared" si="18"/>
        <v/>
      </c>
      <c r="L83" s="90" t="str">
        <f t="shared" si="19"/>
        <v/>
      </c>
      <c r="M83" s="5" t="str">
        <f t="shared" si="20"/>
        <v/>
      </c>
      <c r="N83" s="5" t="str">
        <f t="shared" si="21"/>
        <v/>
      </c>
      <c r="O83" s="90" t="str">
        <f t="shared" si="22"/>
        <v/>
      </c>
      <c r="P83" s="90" t="str">
        <f t="shared" si="23"/>
        <v/>
      </c>
      <c r="Q83" s="86" t="str">
        <f t="shared" si="24"/>
        <v/>
      </c>
      <c r="R83" s="90" t="str">
        <f t="shared" si="25"/>
        <v/>
      </c>
      <c r="S83" s="90" t="str">
        <f t="shared" si="26"/>
        <v/>
      </c>
      <c r="T83" s="19" t="str">
        <f t="shared" si="27"/>
        <v/>
      </c>
    </row>
    <row r="84" spans="2:20" x14ac:dyDescent="0.3">
      <c r="B84" s="22" t="str">
        <f t="shared" si="0"/>
        <v/>
      </c>
      <c r="C84" s="49" t="str">
        <f t="shared" si="15"/>
        <v/>
      </c>
      <c r="D84" s="49"/>
      <c r="E84" s="83" t="str">
        <f t="shared" si="1"/>
        <v/>
      </c>
      <c r="F84" s="83" t="str">
        <f t="shared" si="17"/>
        <v/>
      </c>
      <c r="G84" s="83" t="str">
        <f t="shared" si="3"/>
        <v/>
      </c>
      <c r="H84" s="85" t="str">
        <f t="shared" si="4"/>
        <v/>
      </c>
      <c r="I84" s="85" t="str">
        <f t="shared" si="5"/>
        <v/>
      </c>
      <c r="J84" s="3"/>
      <c r="K84" s="90" t="str">
        <f t="shared" si="18"/>
        <v/>
      </c>
      <c r="L84" s="90" t="str">
        <f t="shared" si="19"/>
        <v/>
      </c>
      <c r="M84" s="5" t="str">
        <f t="shared" si="20"/>
        <v/>
      </c>
      <c r="N84" s="5" t="str">
        <f t="shared" si="21"/>
        <v/>
      </c>
      <c r="O84" s="90" t="str">
        <f t="shared" si="22"/>
        <v/>
      </c>
      <c r="P84" s="90" t="str">
        <f t="shared" si="23"/>
        <v/>
      </c>
      <c r="Q84" s="86" t="str">
        <f t="shared" si="24"/>
        <v/>
      </c>
      <c r="R84" s="90" t="str">
        <f t="shared" si="25"/>
        <v/>
      </c>
      <c r="S84" s="90" t="str">
        <f t="shared" si="26"/>
        <v/>
      </c>
      <c r="T84" s="19" t="str">
        <f t="shared" si="27"/>
        <v/>
      </c>
    </row>
    <row r="85" spans="2:20" x14ac:dyDescent="0.3">
      <c r="B85" s="22" t="str">
        <f t="shared" si="0"/>
        <v/>
      </c>
      <c r="C85" s="49" t="str">
        <f t="shared" si="15"/>
        <v/>
      </c>
      <c r="D85" s="49"/>
      <c r="E85" s="83" t="str">
        <f t="shared" si="1"/>
        <v/>
      </c>
      <c r="F85" s="83" t="str">
        <f t="shared" si="17"/>
        <v/>
      </c>
      <c r="G85" s="83" t="str">
        <f t="shared" si="3"/>
        <v/>
      </c>
      <c r="H85" s="85" t="str">
        <f t="shared" si="4"/>
        <v/>
      </c>
      <c r="I85" s="85" t="str">
        <f t="shared" si="5"/>
        <v/>
      </c>
      <c r="J85" s="3"/>
      <c r="K85" s="90" t="str">
        <f t="shared" si="18"/>
        <v/>
      </c>
      <c r="L85" s="90" t="str">
        <f t="shared" si="19"/>
        <v/>
      </c>
      <c r="M85" s="5" t="str">
        <f t="shared" si="20"/>
        <v/>
      </c>
      <c r="N85" s="5" t="str">
        <f t="shared" si="21"/>
        <v/>
      </c>
      <c r="O85" s="90" t="str">
        <f t="shared" si="22"/>
        <v/>
      </c>
      <c r="P85" s="90" t="str">
        <f t="shared" si="23"/>
        <v/>
      </c>
      <c r="Q85" s="86" t="str">
        <f t="shared" si="24"/>
        <v/>
      </c>
      <c r="R85" s="90" t="str">
        <f t="shared" si="25"/>
        <v/>
      </c>
      <c r="S85" s="90" t="str">
        <f t="shared" si="26"/>
        <v/>
      </c>
      <c r="T85" s="19" t="str">
        <f t="shared" si="27"/>
        <v/>
      </c>
    </row>
    <row r="86" spans="2:20" x14ac:dyDescent="0.3">
      <c r="B86" s="22" t="str">
        <f t="shared" si="0"/>
        <v/>
      </c>
      <c r="C86" s="49" t="str">
        <f t="shared" si="15"/>
        <v/>
      </c>
      <c r="D86" s="49"/>
      <c r="E86" s="83" t="str">
        <f t="shared" si="1"/>
        <v/>
      </c>
      <c r="F86" s="83" t="str">
        <f t="shared" si="17"/>
        <v/>
      </c>
      <c r="G86" s="83" t="str">
        <f t="shared" si="3"/>
        <v/>
      </c>
      <c r="H86" s="85" t="str">
        <f t="shared" si="4"/>
        <v/>
      </c>
      <c r="I86" s="85" t="str">
        <f t="shared" si="5"/>
        <v/>
      </c>
      <c r="J86" s="3"/>
      <c r="K86" s="90" t="str">
        <f t="shared" si="18"/>
        <v/>
      </c>
      <c r="L86" s="90" t="str">
        <f t="shared" si="19"/>
        <v/>
      </c>
      <c r="M86" s="5" t="str">
        <f t="shared" si="20"/>
        <v/>
      </c>
      <c r="N86" s="5" t="str">
        <f t="shared" si="21"/>
        <v/>
      </c>
      <c r="O86" s="90" t="str">
        <f t="shared" si="22"/>
        <v/>
      </c>
      <c r="P86" s="90" t="str">
        <f t="shared" si="23"/>
        <v/>
      </c>
      <c r="Q86" s="86" t="str">
        <f t="shared" si="24"/>
        <v/>
      </c>
      <c r="R86" s="90" t="str">
        <f t="shared" si="25"/>
        <v/>
      </c>
      <c r="S86" s="90" t="str">
        <f t="shared" si="26"/>
        <v/>
      </c>
      <c r="T86" s="19" t="str">
        <f t="shared" si="27"/>
        <v/>
      </c>
    </row>
    <row r="87" spans="2:20" x14ac:dyDescent="0.3">
      <c r="B87" s="22" t="str">
        <f t="shared" si="0"/>
        <v/>
      </c>
      <c r="C87" s="49" t="str">
        <f t="shared" si="15"/>
        <v/>
      </c>
      <c r="D87" s="49"/>
      <c r="E87" s="83" t="str">
        <f t="shared" si="1"/>
        <v/>
      </c>
      <c r="F87" s="83" t="str">
        <f t="shared" si="17"/>
        <v/>
      </c>
      <c r="G87" s="83" t="str">
        <f t="shared" si="3"/>
        <v/>
      </c>
      <c r="H87" s="85" t="str">
        <f t="shared" si="4"/>
        <v/>
      </c>
      <c r="I87" s="85" t="str">
        <f t="shared" si="5"/>
        <v/>
      </c>
      <c r="J87" s="3"/>
      <c r="K87" s="90" t="str">
        <f t="shared" si="18"/>
        <v/>
      </c>
      <c r="L87" s="90" t="str">
        <f t="shared" si="19"/>
        <v/>
      </c>
      <c r="M87" s="5" t="str">
        <f t="shared" si="20"/>
        <v/>
      </c>
      <c r="N87" s="5" t="str">
        <f t="shared" si="21"/>
        <v/>
      </c>
      <c r="O87" s="90" t="str">
        <f t="shared" si="22"/>
        <v/>
      </c>
      <c r="P87" s="90" t="str">
        <f t="shared" si="23"/>
        <v/>
      </c>
      <c r="Q87" s="86" t="str">
        <f t="shared" si="24"/>
        <v/>
      </c>
      <c r="R87" s="90" t="str">
        <f t="shared" si="25"/>
        <v/>
      </c>
      <c r="S87" s="90" t="str">
        <f t="shared" si="26"/>
        <v/>
      </c>
      <c r="T87" s="19" t="str">
        <f t="shared" si="27"/>
        <v/>
      </c>
    </row>
    <row r="88" spans="2:20" x14ac:dyDescent="0.3">
      <c r="B88" s="22" t="str">
        <f t="shared" si="0"/>
        <v/>
      </c>
      <c r="C88" s="49" t="str">
        <f t="shared" si="15"/>
        <v/>
      </c>
      <c r="D88" s="49"/>
      <c r="E88" s="83" t="str">
        <f t="shared" si="1"/>
        <v/>
      </c>
      <c r="F88" s="83" t="str">
        <f t="shared" si="17"/>
        <v/>
      </c>
      <c r="G88" s="83" t="str">
        <f t="shared" si="3"/>
        <v/>
      </c>
      <c r="H88" s="85" t="str">
        <f t="shared" si="4"/>
        <v/>
      </c>
      <c r="I88" s="85" t="str">
        <f t="shared" si="5"/>
        <v/>
      </c>
      <c r="J88" s="3"/>
      <c r="K88" s="90" t="str">
        <f t="shared" si="18"/>
        <v/>
      </c>
      <c r="L88" s="90" t="str">
        <f t="shared" si="19"/>
        <v/>
      </c>
      <c r="M88" s="5" t="str">
        <f t="shared" si="20"/>
        <v/>
      </c>
      <c r="N88" s="5" t="str">
        <f t="shared" si="21"/>
        <v/>
      </c>
      <c r="O88" s="90" t="str">
        <f t="shared" si="22"/>
        <v/>
      </c>
      <c r="P88" s="90" t="str">
        <f t="shared" si="23"/>
        <v/>
      </c>
      <c r="Q88" s="86" t="str">
        <f t="shared" si="24"/>
        <v/>
      </c>
      <c r="R88" s="90" t="str">
        <f t="shared" si="25"/>
        <v/>
      </c>
      <c r="S88" s="90" t="str">
        <f t="shared" si="26"/>
        <v/>
      </c>
      <c r="T88" s="19" t="str">
        <f t="shared" si="27"/>
        <v/>
      </c>
    </row>
    <row r="89" spans="2:20" x14ac:dyDescent="0.3">
      <c r="B89" s="22" t="str">
        <f t="shared" si="0"/>
        <v/>
      </c>
      <c r="C89" s="49" t="str">
        <f t="shared" si="15"/>
        <v/>
      </c>
      <c r="D89" s="49"/>
      <c r="E89" s="83" t="str">
        <f t="shared" si="1"/>
        <v/>
      </c>
      <c r="F89" s="83" t="str">
        <f t="shared" si="17"/>
        <v/>
      </c>
      <c r="G89" s="83" t="str">
        <f t="shared" si="3"/>
        <v/>
      </c>
      <c r="H89" s="85" t="str">
        <f t="shared" si="4"/>
        <v/>
      </c>
      <c r="I89" s="85" t="str">
        <f t="shared" si="5"/>
        <v/>
      </c>
      <c r="J89" s="3"/>
      <c r="K89" s="90" t="str">
        <f t="shared" si="18"/>
        <v/>
      </c>
      <c r="L89" s="90" t="str">
        <f t="shared" si="19"/>
        <v/>
      </c>
      <c r="M89" s="5" t="str">
        <f t="shared" si="20"/>
        <v/>
      </c>
      <c r="N89" s="5" t="str">
        <f t="shared" si="21"/>
        <v/>
      </c>
      <c r="O89" s="90" t="str">
        <f t="shared" si="22"/>
        <v/>
      </c>
      <c r="P89" s="90" t="str">
        <f t="shared" si="23"/>
        <v/>
      </c>
      <c r="Q89" s="86" t="str">
        <f t="shared" si="24"/>
        <v/>
      </c>
      <c r="R89" s="90" t="str">
        <f t="shared" si="25"/>
        <v/>
      </c>
      <c r="S89" s="90" t="str">
        <f t="shared" si="26"/>
        <v/>
      </c>
      <c r="T89" s="19" t="str">
        <f t="shared" si="27"/>
        <v/>
      </c>
    </row>
    <row r="90" spans="2:20" x14ac:dyDescent="0.3">
      <c r="B90" s="22" t="str">
        <f t="shared" si="0"/>
        <v/>
      </c>
      <c r="C90" s="49" t="str">
        <f t="shared" si="15"/>
        <v/>
      </c>
      <c r="D90" s="49"/>
      <c r="E90" s="83" t="str">
        <f t="shared" si="1"/>
        <v/>
      </c>
      <c r="F90" s="83" t="str">
        <f t="shared" si="17"/>
        <v/>
      </c>
      <c r="G90" s="83" t="str">
        <f t="shared" si="3"/>
        <v/>
      </c>
      <c r="H90" s="85" t="str">
        <f t="shared" si="4"/>
        <v/>
      </c>
      <c r="I90" s="85" t="str">
        <f t="shared" si="5"/>
        <v/>
      </c>
      <c r="J90" s="3"/>
      <c r="K90" s="90" t="str">
        <f t="shared" si="18"/>
        <v/>
      </c>
      <c r="L90" s="90" t="str">
        <f t="shared" si="19"/>
        <v/>
      </c>
      <c r="M90" s="5" t="str">
        <f t="shared" si="20"/>
        <v/>
      </c>
      <c r="N90" s="5" t="str">
        <f t="shared" si="21"/>
        <v/>
      </c>
      <c r="O90" s="90" t="str">
        <f t="shared" si="22"/>
        <v/>
      </c>
      <c r="P90" s="90" t="str">
        <f t="shared" si="23"/>
        <v/>
      </c>
      <c r="Q90" s="86" t="str">
        <f t="shared" si="24"/>
        <v/>
      </c>
      <c r="R90" s="90" t="str">
        <f t="shared" si="25"/>
        <v/>
      </c>
      <c r="S90" s="90" t="str">
        <f t="shared" si="26"/>
        <v/>
      </c>
      <c r="T90" s="19" t="str">
        <f t="shared" si="27"/>
        <v/>
      </c>
    </row>
    <row r="91" spans="2:20" x14ac:dyDescent="0.3">
      <c r="B91" s="22" t="str">
        <f t="shared" si="0"/>
        <v/>
      </c>
      <c r="C91" s="49" t="str">
        <f t="shared" si="15"/>
        <v/>
      </c>
      <c r="D91" s="49"/>
      <c r="E91" s="83" t="str">
        <f t="shared" si="1"/>
        <v/>
      </c>
      <c r="F91" s="83" t="str">
        <f t="shared" si="17"/>
        <v/>
      </c>
      <c r="G91" s="83" t="str">
        <f t="shared" si="3"/>
        <v/>
      </c>
      <c r="H91" s="85" t="str">
        <f t="shared" si="4"/>
        <v/>
      </c>
      <c r="I91" s="85" t="str">
        <f t="shared" si="5"/>
        <v/>
      </c>
      <c r="J91" s="3"/>
      <c r="K91" s="90" t="str">
        <f t="shared" si="18"/>
        <v/>
      </c>
      <c r="L91" s="90" t="str">
        <f t="shared" si="19"/>
        <v/>
      </c>
      <c r="M91" s="5" t="str">
        <f t="shared" si="20"/>
        <v/>
      </c>
      <c r="N91" s="5" t="str">
        <f t="shared" si="21"/>
        <v/>
      </c>
      <c r="O91" s="90" t="str">
        <f t="shared" si="22"/>
        <v/>
      </c>
      <c r="P91" s="90" t="str">
        <f t="shared" si="23"/>
        <v/>
      </c>
      <c r="Q91" s="86" t="str">
        <f t="shared" si="24"/>
        <v/>
      </c>
      <c r="R91" s="90" t="str">
        <f t="shared" si="25"/>
        <v/>
      </c>
      <c r="S91" s="90" t="str">
        <f t="shared" si="26"/>
        <v/>
      </c>
      <c r="T91" s="19" t="str">
        <f t="shared" si="27"/>
        <v/>
      </c>
    </row>
    <row r="92" spans="2:20" x14ac:dyDescent="0.3">
      <c r="B92" s="22" t="str">
        <f t="shared" si="0"/>
        <v/>
      </c>
      <c r="C92" s="49" t="str">
        <f t="shared" si="15"/>
        <v/>
      </c>
      <c r="D92" s="49"/>
      <c r="E92" s="83" t="str">
        <f t="shared" si="1"/>
        <v/>
      </c>
      <c r="F92" s="83" t="str">
        <f t="shared" si="17"/>
        <v/>
      </c>
      <c r="G92" s="83" t="str">
        <f t="shared" si="3"/>
        <v/>
      </c>
      <c r="H92" s="85" t="str">
        <f t="shared" si="4"/>
        <v/>
      </c>
      <c r="I92" s="85" t="str">
        <f t="shared" si="5"/>
        <v/>
      </c>
      <c r="J92" s="3"/>
      <c r="K92" s="90" t="str">
        <f t="shared" si="18"/>
        <v/>
      </c>
      <c r="L92" s="90" t="str">
        <f t="shared" si="19"/>
        <v/>
      </c>
      <c r="M92" s="5" t="str">
        <f t="shared" si="20"/>
        <v/>
      </c>
      <c r="N92" s="5" t="str">
        <f t="shared" si="21"/>
        <v/>
      </c>
      <c r="O92" s="90" t="str">
        <f t="shared" si="22"/>
        <v/>
      </c>
      <c r="P92" s="90" t="str">
        <f t="shared" si="23"/>
        <v/>
      </c>
      <c r="Q92" s="86" t="str">
        <f t="shared" si="24"/>
        <v/>
      </c>
      <c r="R92" s="90" t="str">
        <f t="shared" si="25"/>
        <v/>
      </c>
      <c r="S92" s="90" t="str">
        <f t="shared" si="26"/>
        <v/>
      </c>
      <c r="T92" s="19" t="str">
        <f t="shared" si="27"/>
        <v/>
      </c>
    </row>
    <row r="93" spans="2:20" x14ac:dyDescent="0.3">
      <c r="B93" s="22" t="str">
        <f t="shared" si="0"/>
        <v/>
      </c>
      <c r="C93" s="49" t="str">
        <f t="shared" si="15"/>
        <v/>
      </c>
      <c r="D93" s="49"/>
      <c r="E93" s="83" t="str">
        <f t="shared" si="1"/>
        <v/>
      </c>
      <c r="F93" s="83" t="str">
        <f t="shared" si="17"/>
        <v/>
      </c>
      <c r="G93" s="83" t="str">
        <f t="shared" si="3"/>
        <v/>
      </c>
      <c r="H93" s="85" t="str">
        <f t="shared" si="4"/>
        <v/>
      </c>
      <c r="I93" s="85" t="str">
        <f t="shared" si="5"/>
        <v/>
      </c>
      <c r="J93" s="3"/>
      <c r="K93" s="90" t="str">
        <f t="shared" si="18"/>
        <v/>
      </c>
      <c r="L93" s="90" t="str">
        <f t="shared" si="19"/>
        <v/>
      </c>
      <c r="M93" s="5" t="str">
        <f t="shared" si="20"/>
        <v/>
      </c>
      <c r="N93" s="5" t="str">
        <f t="shared" si="21"/>
        <v/>
      </c>
      <c r="O93" s="90" t="str">
        <f t="shared" si="22"/>
        <v/>
      </c>
      <c r="P93" s="90" t="str">
        <f t="shared" si="23"/>
        <v/>
      </c>
      <c r="Q93" s="86" t="str">
        <f t="shared" si="24"/>
        <v/>
      </c>
      <c r="R93" s="90" t="str">
        <f t="shared" si="25"/>
        <v/>
      </c>
      <c r="S93" s="90" t="str">
        <f t="shared" si="26"/>
        <v/>
      </c>
      <c r="T93" s="19" t="str">
        <f t="shared" si="27"/>
        <v/>
      </c>
    </row>
  </sheetData>
  <mergeCells count="35">
    <mergeCell ref="H32:K32"/>
    <mergeCell ref="B43:D43"/>
    <mergeCell ref="B22:C22"/>
    <mergeCell ref="B24:C24"/>
    <mergeCell ref="B25:C25"/>
    <mergeCell ref="B26:C26"/>
    <mergeCell ref="B32:D32"/>
    <mergeCell ref="E32:G32"/>
    <mergeCell ref="B36:T36"/>
    <mergeCell ref="B31:T31"/>
    <mergeCell ref="B9:C9"/>
    <mergeCell ref="D9:E9"/>
    <mergeCell ref="G5:H5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6:C6"/>
    <mergeCell ref="B7:C7"/>
    <mergeCell ref="G3:H3"/>
    <mergeCell ref="B8:C8"/>
    <mergeCell ref="G4:H4"/>
    <mergeCell ref="G2:H2"/>
    <mergeCell ref="B2:E2"/>
    <mergeCell ref="D3:E3"/>
    <mergeCell ref="B4:C4"/>
    <mergeCell ref="B5:C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1FDF4-0191-45EF-A257-AEED4CC61FAF}">
  <dimension ref="B1:Y93"/>
  <sheetViews>
    <sheetView topLeftCell="A64" zoomScale="16" zoomScaleNormal="80" workbookViewId="0">
      <selection activeCell="J48" sqref="J48"/>
    </sheetView>
  </sheetViews>
  <sheetFormatPr baseColWidth="10" defaultColWidth="8.6640625" defaultRowHeight="14.4" x14ac:dyDescent="0.3"/>
  <cols>
    <col min="1" max="1" width="1.44140625" customWidth="1"/>
    <col min="2" max="2" width="16.33203125" customWidth="1"/>
    <col min="3" max="20" width="20.6640625" customWidth="1"/>
    <col min="21" max="21" width="19.33203125" customWidth="1"/>
    <col min="22" max="22" width="12.109375" bestFit="1" customWidth="1"/>
    <col min="23" max="23" width="14.33203125" customWidth="1"/>
  </cols>
  <sheetData>
    <row r="1" spans="2:12" ht="6" customHeight="1" x14ac:dyDescent="0.3"/>
    <row r="2" spans="2:12" x14ac:dyDescent="0.3">
      <c r="B2" s="124" t="s">
        <v>8</v>
      </c>
      <c r="C2" s="125"/>
      <c r="D2" s="125"/>
      <c r="E2" s="126"/>
    </row>
    <row r="3" spans="2:12" ht="23.4" customHeight="1" x14ac:dyDescent="0.3">
      <c r="D3" s="112" t="s">
        <v>66</v>
      </c>
      <c r="E3" s="113"/>
      <c r="F3" s="28"/>
      <c r="G3" s="28"/>
    </row>
    <row r="4" spans="2:12" x14ac:dyDescent="0.3">
      <c r="B4" s="107"/>
      <c r="C4" s="107"/>
      <c r="D4" s="4" t="s">
        <v>0</v>
      </c>
      <c r="E4" s="4" t="s">
        <v>15</v>
      </c>
      <c r="F4" s="21"/>
    </row>
    <row r="5" spans="2:12" x14ac:dyDescent="0.3">
      <c r="B5" s="107" t="s">
        <v>14</v>
      </c>
      <c r="C5" s="107"/>
      <c r="D5" s="11">
        <v>10000</v>
      </c>
      <c r="E5" s="10">
        <v>45627</v>
      </c>
      <c r="F5" s="21"/>
    </row>
    <row r="6" spans="2:12" x14ac:dyDescent="0.3">
      <c r="B6" s="107" t="s">
        <v>16</v>
      </c>
      <c r="C6" s="107"/>
      <c r="D6" s="11">
        <v>10000</v>
      </c>
      <c r="E6" s="10">
        <v>45717</v>
      </c>
      <c r="F6" s="21"/>
      <c r="G6" s="109" t="s">
        <v>13</v>
      </c>
      <c r="H6" s="110"/>
      <c r="I6" s="28"/>
      <c r="J6" s="28"/>
      <c r="K6" s="28"/>
    </row>
    <row r="7" spans="2:12" x14ac:dyDescent="0.3">
      <c r="B7" s="107" t="s">
        <v>17</v>
      </c>
      <c r="C7" s="107"/>
      <c r="D7" s="11">
        <v>10000</v>
      </c>
      <c r="E7" s="10">
        <v>45960</v>
      </c>
      <c r="F7" s="21"/>
      <c r="G7" s="108" t="s">
        <v>3</v>
      </c>
      <c r="H7" s="108"/>
      <c r="I7" s="77">
        <f>NPV(D17,P44:P64)-K34-D34</f>
        <v>99466.87344785186</v>
      </c>
      <c r="J7" s="71"/>
      <c r="K7" s="71"/>
      <c r="L7" s="72" t="s">
        <v>33</v>
      </c>
    </row>
    <row r="8" spans="2:12" x14ac:dyDescent="0.3">
      <c r="B8" s="107"/>
      <c r="C8" s="107"/>
      <c r="D8" s="11"/>
      <c r="E8" s="10"/>
      <c r="G8" s="108" t="s">
        <v>25</v>
      </c>
      <c r="H8" s="108"/>
      <c r="I8" s="79">
        <f>(((Q63-D34))/SUM(O44:O63))/D15</f>
        <v>7.4955461900183568E-2</v>
      </c>
      <c r="J8" s="73"/>
      <c r="K8" s="73"/>
    </row>
    <row r="9" spans="2:12" x14ac:dyDescent="0.3">
      <c r="B9" s="114"/>
      <c r="C9" s="115"/>
      <c r="D9" s="109" t="s">
        <v>65</v>
      </c>
      <c r="E9" s="110"/>
      <c r="G9" s="108" t="s">
        <v>31</v>
      </c>
      <c r="H9" s="108"/>
      <c r="I9" s="78" t="str" cm="1">
        <f t="array" ref="I9">_xlfn.IFNA(CONCATENATE("nach ",(INDEX(C44:C64,MATCH(1,(U44:U64&gt;0)*1,0)))," Jahren"),"NACH LAUFZEIT")</f>
        <v>nach 14 Jahren</v>
      </c>
      <c r="J9" s="74"/>
      <c r="K9" s="74"/>
    </row>
    <row r="10" spans="2:12" x14ac:dyDescent="0.3">
      <c r="B10" s="114" t="s">
        <v>39</v>
      </c>
      <c r="C10" s="115"/>
      <c r="D10" s="11">
        <v>50000</v>
      </c>
      <c r="E10" s="10">
        <v>45657</v>
      </c>
    </row>
    <row r="11" spans="2:12" x14ac:dyDescent="0.3">
      <c r="B11" s="114" t="s">
        <v>40</v>
      </c>
      <c r="C11" s="115"/>
      <c r="D11" s="33">
        <v>0.05</v>
      </c>
      <c r="G11" s="34"/>
      <c r="I11" s="34"/>
      <c r="J11" s="34"/>
      <c r="K11" s="34"/>
    </row>
    <row r="12" spans="2:12" x14ac:dyDescent="0.3">
      <c r="B12" s="114" t="s">
        <v>41</v>
      </c>
      <c r="C12" s="115"/>
      <c r="D12" s="80">
        <v>0.08</v>
      </c>
      <c r="H12" s="34"/>
    </row>
    <row r="13" spans="2:12" x14ac:dyDescent="0.3">
      <c r="B13" s="116"/>
      <c r="C13" s="116"/>
      <c r="D13" s="45"/>
    </row>
    <row r="14" spans="2:12" x14ac:dyDescent="0.3">
      <c r="B14" s="107" t="s">
        <v>6</v>
      </c>
      <c r="C14" s="107"/>
      <c r="D14" s="39">
        <v>45658</v>
      </c>
    </row>
    <row r="15" spans="2:12" x14ac:dyDescent="0.3">
      <c r="B15" s="107" t="s">
        <v>1</v>
      </c>
      <c r="C15" s="107"/>
      <c r="D15" s="8">
        <v>20</v>
      </c>
      <c r="L15" s="27"/>
    </row>
    <row r="16" spans="2:12" x14ac:dyDescent="0.3">
      <c r="B16" s="114" t="s">
        <v>19</v>
      </c>
      <c r="C16" s="115"/>
      <c r="D16" s="11">
        <v>1500</v>
      </c>
    </row>
    <row r="17" spans="2:25" x14ac:dyDescent="0.3">
      <c r="B17" s="107" t="s">
        <v>22</v>
      </c>
      <c r="C17" s="107"/>
      <c r="D17" s="33">
        <v>0.05</v>
      </c>
      <c r="I17" s="34"/>
      <c r="J17" s="34"/>
      <c r="K17" s="34"/>
    </row>
    <row r="18" spans="2:25" x14ac:dyDescent="0.3">
      <c r="B18" s="107" t="s">
        <v>2</v>
      </c>
      <c r="C18" s="107"/>
      <c r="D18" s="8">
        <v>1750000</v>
      </c>
    </row>
    <row r="19" spans="2:25" x14ac:dyDescent="0.3">
      <c r="B19" s="107" t="s">
        <v>11</v>
      </c>
      <c r="C19" s="107"/>
      <c r="D19" s="8">
        <v>80000</v>
      </c>
    </row>
    <row r="20" spans="2:25" x14ac:dyDescent="0.3">
      <c r="B20" s="107" t="s">
        <v>7</v>
      </c>
      <c r="C20" s="107"/>
      <c r="D20" s="9">
        <v>0.2</v>
      </c>
      <c r="L20" s="34"/>
    </row>
    <row r="21" spans="2:25" x14ac:dyDescent="0.3">
      <c r="B21" s="107" t="s">
        <v>23</v>
      </c>
      <c r="C21" s="107"/>
      <c r="D21" s="33">
        <v>0.03</v>
      </c>
    </row>
    <row r="22" spans="2:25" x14ac:dyDescent="0.3">
      <c r="B22" s="107" t="s">
        <v>24</v>
      </c>
      <c r="C22" s="107"/>
      <c r="D22" s="33">
        <v>0.02</v>
      </c>
    </row>
    <row r="23" spans="2:25" x14ac:dyDescent="0.3">
      <c r="B23" s="25" t="s">
        <v>46</v>
      </c>
      <c r="C23" s="25"/>
      <c r="D23" s="60">
        <v>0.2</v>
      </c>
      <c r="E23" s="21"/>
      <c r="F23" s="21"/>
      <c r="G23" s="21"/>
      <c r="H23" s="21"/>
      <c r="I23" s="21"/>
      <c r="J23" s="21"/>
      <c r="K23" s="21"/>
      <c r="L23" s="1"/>
      <c r="M23" s="20"/>
      <c r="N23" s="20"/>
      <c r="O23" s="20"/>
      <c r="P23" s="20"/>
    </row>
    <row r="24" spans="2:25" x14ac:dyDescent="0.3">
      <c r="B24" s="121" t="s">
        <v>51</v>
      </c>
      <c r="C24" s="122"/>
      <c r="D24" s="62">
        <v>0.17499999999999999</v>
      </c>
      <c r="E24" s="21"/>
      <c r="F24" s="21"/>
      <c r="G24" s="21"/>
      <c r="H24" s="21"/>
      <c r="I24" s="21"/>
      <c r="J24" s="21"/>
      <c r="K24" s="21"/>
      <c r="L24" s="1"/>
      <c r="M24" s="20"/>
      <c r="N24" s="20"/>
      <c r="O24" s="20"/>
      <c r="P24" s="20"/>
    </row>
    <row r="25" spans="2:25" x14ac:dyDescent="0.3">
      <c r="B25" s="121" t="s">
        <v>52</v>
      </c>
      <c r="C25" s="122"/>
      <c r="D25" s="62">
        <v>0.15825</v>
      </c>
      <c r="E25" s="21"/>
      <c r="F25" s="21"/>
      <c r="G25" s="21"/>
      <c r="H25" s="21"/>
      <c r="I25" s="21"/>
      <c r="J25" s="21"/>
      <c r="K25" s="21"/>
      <c r="L25" s="1"/>
      <c r="M25" s="20"/>
      <c r="N25" s="20"/>
      <c r="O25" s="20"/>
      <c r="P25" s="20"/>
    </row>
    <row r="26" spans="2:25" x14ac:dyDescent="0.3">
      <c r="B26" s="114" t="s">
        <v>53</v>
      </c>
      <c r="C26" s="115"/>
      <c r="D26" s="61">
        <f>D24+D25</f>
        <v>0.33324999999999999</v>
      </c>
      <c r="E26" s="21"/>
      <c r="F26" s="21"/>
      <c r="G26" s="21"/>
      <c r="H26" s="21"/>
      <c r="I26" s="21"/>
      <c r="J26" s="21"/>
      <c r="K26" s="21"/>
      <c r="L26" s="1"/>
      <c r="M26" s="20"/>
      <c r="N26" s="20"/>
      <c r="O26" s="20"/>
      <c r="P26" s="20"/>
    </row>
    <row r="27" spans="2:25" s="40" customFormat="1" ht="26.55" customHeight="1" x14ac:dyDescent="0.3">
      <c r="K27" s="42"/>
      <c r="M27" s="41"/>
      <c r="N27" s="42"/>
      <c r="O27" s="42"/>
      <c r="P27" s="42"/>
      <c r="Q27" s="42"/>
      <c r="R27" s="42"/>
      <c r="U27" s="69" t="s">
        <v>33</v>
      </c>
    </row>
    <row r="28" spans="2:25" s="40" customFormat="1" ht="26.55" customHeight="1" x14ac:dyDescent="0.3">
      <c r="K28" s="42"/>
      <c r="M28" s="41"/>
      <c r="N28" s="42"/>
      <c r="O28" s="42"/>
      <c r="P28" s="42"/>
      <c r="Q28" s="42"/>
      <c r="R28" s="42"/>
      <c r="U28" s="69"/>
    </row>
    <row r="29" spans="2:25" s="40" customFormat="1" ht="26.55" customHeight="1" x14ac:dyDescent="0.3">
      <c r="B29" s="43" t="str">
        <f>IF(AND(DAY(B44)=1,MONTH(B44)=1),"Ja","Nein")</f>
        <v>Ja</v>
      </c>
      <c r="C29" s="127" t="s">
        <v>77</v>
      </c>
      <c r="D29" s="128"/>
      <c r="K29" s="42"/>
      <c r="M29" s="41"/>
      <c r="N29" s="42"/>
      <c r="O29" s="42"/>
      <c r="P29" s="42"/>
      <c r="Q29" s="42"/>
      <c r="R29" s="42"/>
      <c r="U29" s="69"/>
    </row>
    <row r="30" spans="2:25" s="40" customFormat="1" ht="26.55" customHeight="1" x14ac:dyDescent="0.3">
      <c r="K30" s="42"/>
      <c r="M30" s="41"/>
      <c r="N30" s="42"/>
      <c r="O30" s="42"/>
      <c r="P30" s="42"/>
      <c r="Q30" s="42"/>
      <c r="R30" s="42"/>
      <c r="U30" s="69"/>
    </row>
    <row r="31" spans="2:25" x14ac:dyDescent="0.3">
      <c r="B31" s="117" t="s">
        <v>9</v>
      </c>
      <c r="C31" s="118"/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9"/>
      <c r="V31" s="70"/>
      <c r="W31" s="70"/>
      <c r="X31" s="16"/>
      <c r="Y31" s="16"/>
    </row>
    <row r="32" spans="2:25" x14ac:dyDescent="0.3">
      <c r="B32" s="117" t="s">
        <v>57</v>
      </c>
      <c r="C32" s="118"/>
      <c r="D32" s="119"/>
      <c r="E32" s="118" t="s">
        <v>35</v>
      </c>
      <c r="F32" s="118"/>
      <c r="G32" s="119"/>
      <c r="H32" s="117" t="s">
        <v>48</v>
      </c>
      <c r="I32" s="118"/>
      <c r="J32" s="81"/>
      <c r="K32" s="82"/>
      <c r="L32" s="44"/>
      <c r="M32" s="29"/>
      <c r="N32" s="29"/>
      <c r="O32" s="29"/>
      <c r="P32" s="29"/>
      <c r="Q32" s="29"/>
      <c r="R32" s="29"/>
      <c r="S32" s="29"/>
      <c r="T32" s="29"/>
      <c r="U32" s="29"/>
      <c r="V32" s="70"/>
      <c r="W32" s="70"/>
      <c r="X32" s="16"/>
      <c r="Y32" s="16"/>
    </row>
    <row r="33" spans="2:23" ht="79.05" customHeight="1" x14ac:dyDescent="0.3">
      <c r="B33" s="36" t="s">
        <v>4</v>
      </c>
      <c r="C33" s="50" t="s">
        <v>30</v>
      </c>
      <c r="D33" s="50" t="s">
        <v>43</v>
      </c>
      <c r="E33" s="54" t="s">
        <v>37</v>
      </c>
      <c r="F33" s="54" t="s">
        <v>36</v>
      </c>
      <c r="G33" s="54" t="s">
        <v>38</v>
      </c>
      <c r="H33" s="63" t="s">
        <v>45</v>
      </c>
      <c r="I33" s="63" t="s">
        <v>50</v>
      </c>
      <c r="J33" s="57" t="s">
        <v>47</v>
      </c>
      <c r="K33" s="36" t="s">
        <v>29</v>
      </c>
      <c r="L33" s="36" t="s">
        <v>42</v>
      </c>
      <c r="M33" s="36" t="s">
        <v>5</v>
      </c>
      <c r="N33" s="36" t="s">
        <v>28</v>
      </c>
      <c r="O33" s="36" t="s">
        <v>59</v>
      </c>
      <c r="P33" s="36" t="s">
        <v>61</v>
      </c>
      <c r="Q33" s="36" t="s">
        <v>27</v>
      </c>
      <c r="R33" s="36" t="s">
        <v>54</v>
      </c>
      <c r="S33" s="36" t="s">
        <v>55</v>
      </c>
      <c r="T33" s="36" t="s">
        <v>10</v>
      </c>
      <c r="U33" s="36" t="s">
        <v>12</v>
      </c>
      <c r="V33" s="16"/>
      <c r="W33" s="16"/>
    </row>
    <row r="34" spans="2:23" x14ac:dyDescent="0.3">
      <c r="B34" s="6"/>
      <c r="C34" s="51"/>
      <c r="D34" s="52">
        <f>SUM(D38:D41)</f>
        <v>30000</v>
      </c>
      <c r="E34" s="55">
        <f>SUM(E38:E64)</f>
        <v>39122.798047633863</v>
      </c>
      <c r="F34" s="55">
        <f>SUM(F38:F64)</f>
        <v>58584.970263611453</v>
      </c>
      <c r="G34" s="55">
        <f>D10</f>
        <v>50000</v>
      </c>
      <c r="H34" s="64"/>
      <c r="I34" s="64"/>
      <c r="J34" s="58"/>
      <c r="K34" s="26">
        <f>SUM(K38:K42)</f>
        <v>88152.289536969096</v>
      </c>
      <c r="L34" s="13" t="str">
        <f>_xlfn.CONCAT(D16,"€   (",D22*100,"%)")</f>
        <v>1500€   (2%)</v>
      </c>
      <c r="M34" s="13" t="str">
        <f>_xlfn.CONCAT(D20,"€   (",D21*100,"%)")</f>
        <v>0,2€   (3%)</v>
      </c>
      <c r="N34" s="6"/>
      <c r="O34" s="6"/>
      <c r="P34" s="6"/>
      <c r="Q34" s="6"/>
      <c r="R34" s="6"/>
      <c r="S34" s="6"/>
      <c r="T34" s="6"/>
      <c r="U34" s="19"/>
      <c r="V34" s="16"/>
      <c r="W34" s="16"/>
    </row>
    <row r="35" spans="2:23" ht="14.55" customHeight="1" x14ac:dyDescent="0.3">
      <c r="B35" s="6"/>
      <c r="C35" s="51"/>
      <c r="D35" s="53"/>
      <c r="E35" s="55"/>
      <c r="F35" s="55"/>
      <c r="G35" s="55"/>
      <c r="H35" s="64"/>
      <c r="I35" s="64"/>
      <c r="J35" s="58"/>
      <c r="K35" s="26"/>
      <c r="L35" s="13"/>
      <c r="M35" s="23"/>
      <c r="N35" s="6"/>
      <c r="O35" s="6"/>
      <c r="P35" s="6"/>
      <c r="Q35" s="6"/>
      <c r="R35" s="6"/>
      <c r="S35" s="6"/>
      <c r="T35" s="6"/>
      <c r="U35" s="6"/>
      <c r="V35" s="16"/>
      <c r="W35" s="16"/>
    </row>
    <row r="36" spans="2:23" ht="28.05" customHeight="1" x14ac:dyDescent="0.3">
      <c r="B36" s="123" t="s">
        <v>20</v>
      </c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</row>
    <row r="37" spans="2:23" ht="15.6" customHeight="1" x14ac:dyDescent="0.3">
      <c r="B37" s="6"/>
      <c r="C37" s="51"/>
      <c r="D37" s="53"/>
      <c r="E37" s="55"/>
      <c r="F37" s="55"/>
      <c r="G37" s="55"/>
      <c r="H37" s="64"/>
      <c r="I37" s="64"/>
      <c r="J37" s="58"/>
      <c r="K37" s="26"/>
      <c r="L37" s="13"/>
      <c r="M37" s="23"/>
      <c r="N37" s="6"/>
      <c r="O37" s="6"/>
      <c r="P37" s="6"/>
      <c r="Q37" s="6"/>
      <c r="R37" s="6"/>
      <c r="S37" s="6"/>
      <c r="T37" s="6"/>
      <c r="U37" s="6"/>
      <c r="V37" s="16"/>
      <c r="W37" s="16"/>
    </row>
    <row r="38" spans="2:23" x14ac:dyDescent="0.3">
      <c r="B38" s="22">
        <f>E5</f>
        <v>45627</v>
      </c>
      <c r="C38" s="47">
        <f>(B$44-B38)/365</f>
        <v>8.4931506849315067E-2</v>
      </c>
      <c r="D38" s="52">
        <f>D5</f>
        <v>10000</v>
      </c>
      <c r="E38" s="56"/>
      <c r="F38" s="56"/>
      <c r="G38" s="56"/>
      <c r="H38" s="65"/>
      <c r="I38" s="65"/>
      <c r="J38" s="59"/>
      <c r="K38" s="13">
        <f>D38*(1+D$17)^C38</f>
        <v>10041.52419664797</v>
      </c>
      <c r="L38" s="2"/>
      <c r="M38" s="23"/>
      <c r="N38" s="13"/>
      <c r="O38" s="13"/>
      <c r="P38" s="31"/>
      <c r="Q38" s="31"/>
      <c r="R38" s="2"/>
      <c r="S38" s="13"/>
      <c r="T38" s="13"/>
      <c r="U38" s="19">
        <f>-K38</f>
        <v>-10041.52419664797</v>
      </c>
      <c r="V38" s="17"/>
      <c r="W38" s="18"/>
    </row>
    <row r="39" spans="2:23" x14ac:dyDescent="0.3">
      <c r="B39" s="22">
        <f>IF(D6=0,"",E6)</f>
        <v>45717</v>
      </c>
      <c r="C39" s="47">
        <f>(B$44-B39)/365</f>
        <v>-0.16164383561643836</v>
      </c>
      <c r="D39" s="52">
        <f>D6</f>
        <v>10000</v>
      </c>
      <c r="E39" s="56"/>
      <c r="F39" s="56"/>
      <c r="G39" s="56"/>
      <c r="H39" s="65"/>
      <c r="I39" s="65"/>
      <c r="J39" s="59"/>
      <c r="K39" s="13">
        <f>D39*(1+D$17)^C39</f>
        <v>9921.4438858827452</v>
      </c>
      <c r="L39" s="2"/>
      <c r="M39" s="23"/>
      <c r="N39" s="13"/>
      <c r="O39" s="13"/>
      <c r="P39" s="31"/>
      <c r="Q39" s="31"/>
      <c r="R39" s="12"/>
      <c r="S39" s="13"/>
      <c r="T39" s="13"/>
      <c r="U39" s="19">
        <f>U38-K39</f>
        <v>-19962.968082530715</v>
      </c>
      <c r="V39" s="17"/>
      <c r="W39" s="18"/>
    </row>
    <row r="40" spans="2:23" x14ac:dyDescent="0.3">
      <c r="B40" s="22">
        <f>IF(D7=0,"",E7)</f>
        <v>45960</v>
      </c>
      <c r="C40" s="47">
        <f>(B$44-B40)/365</f>
        <v>-0.82739726027397265</v>
      </c>
      <c r="D40" s="52">
        <f>D7</f>
        <v>10000</v>
      </c>
      <c r="E40" s="56"/>
      <c r="F40" s="56"/>
      <c r="G40" s="56"/>
      <c r="H40" s="65"/>
      <c r="I40" s="65"/>
      <c r="J40" s="59"/>
      <c r="K40" s="13">
        <f>D40*(1+D$17)^C40</f>
        <v>9604.3511908269193</v>
      </c>
      <c r="L40" s="2"/>
      <c r="M40" s="23"/>
      <c r="N40" s="13"/>
      <c r="O40" s="13"/>
      <c r="P40" s="31"/>
      <c r="Q40" s="31"/>
      <c r="R40" s="12"/>
      <c r="S40" s="13"/>
      <c r="T40" s="13"/>
      <c r="U40" s="19">
        <f>U39-K40</f>
        <v>-29567.319273357636</v>
      </c>
      <c r="V40" s="17"/>
      <c r="W40" s="18"/>
    </row>
    <row r="41" spans="2:23" x14ac:dyDescent="0.3">
      <c r="B41" s="22" t="str">
        <f>IF(D8=0,"",E8)</f>
        <v/>
      </c>
      <c r="C41" s="47"/>
      <c r="D41" s="52"/>
      <c r="E41" s="56"/>
      <c r="F41" s="56"/>
      <c r="G41" s="56"/>
      <c r="H41" s="65"/>
      <c r="I41" s="65"/>
      <c r="J41" s="59"/>
      <c r="K41" s="13"/>
      <c r="L41" s="2"/>
      <c r="M41" s="23"/>
      <c r="N41" s="13"/>
      <c r="O41" s="13"/>
      <c r="P41" s="31"/>
      <c r="Q41" s="31"/>
      <c r="R41" s="12"/>
      <c r="S41" s="13"/>
      <c r="T41" s="13"/>
      <c r="U41" s="19"/>
      <c r="V41" s="17"/>
      <c r="W41" s="18"/>
    </row>
    <row r="42" spans="2:23" x14ac:dyDescent="0.3">
      <c r="B42" s="22">
        <f>IF(D10=0,"",E10)</f>
        <v>45657</v>
      </c>
      <c r="C42" s="47"/>
      <c r="D42" s="52"/>
      <c r="E42" s="84">
        <f>(D14-E10)/365*(D10*D11)</f>
        <v>6.8493150684931505</v>
      </c>
      <c r="F42" s="87">
        <f>IF($D$10=0,0,((B44-E10)/365)*D12)</f>
        <v>2.1917808219178083E-4</v>
      </c>
      <c r="G42" s="56">
        <f>G34+E42-F42</f>
        <v>50006.849095890415</v>
      </c>
      <c r="H42" s="65"/>
      <c r="I42" s="65"/>
      <c r="J42" s="59">
        <f>F34</f>
        <v>58584.970263611453</v>
      </c>
      <c r="K42" s="13">
        <f>F34</f>
        <v>58584.970263611453</v>
      </c>
      <c r="L42" s="2"/>
      <c r="M42" s="23"/>
      <c r="N42" s="13"/>
      <c r="O42" s="13"/>
      <c r="P42" s="31"/>
      <c r="Q42" s="31"/>
      <c r="R42" s="12"/>
      <c r="S42" s="13"/>
      <c r="T42" s="13"/>
      <c r="U42" s="19">
        <f>U40-K42</f>
        <v>-88152.289536969096</v>
      </c>
      <c r="V42" s="17"/>
      <c r="W42" s="18"/>
    </row>
    <row r="43" spans="2:23" ht="35.1" customHeight="1" x14ac:dyDescent="0.3">
      <c r="B43" s="123" t="s">
        <v>21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</row>
    <row r="44" spans="2:23" x14ac:dyDescent="0.3">
      <c r="B44" s="37">
        <f>D14</f>
        <v>45658</v>
      </c>
      <c r="C44" s="47">
        <f>IF(B29="Ja",1,(DATE(YEAR(B44),12,31)-DATE(YEAR(B44),MONTH(B44),DAY(B44))+1)/365)</f>
        <v>1</v>
      </c>
      <c r="D44" s="48"/>
      <c r="E44" s="56">
        <f>G42*D$11*C44</f>
        <v>2500.342454794521</v>
      </c>
      <c r="F44" s="56"/>
      <c r="G44" s="56">
        <f>$D$10-F44</f>
        <v>50000</v>
      </c>
      <c r="H44" s="65">
        <f>($D$5+$D$6+$D$7+$D$8+$D$10)*D23</f>
        <v>16000</v>
      </c>
      <c r="I44" s="65">
        <f t="shared" ref="I44" si="0">H44*$D$26</f>
        <v>5332</v>
      </c>
      <c r="J44" s="59">
        <f>($D$5+$D$6+$D$7+$D$8+$D$10)-H44</f>
        <v>64000</v>
      </c>
      <c r="K44" s="24"/>
      <c r="L44" s="14">
        <f>D16</f>
        <v>1500</v>
      </c>
      <c r="M44" s="23">
        <f>D20</f>
        <v>0.2</v>
      </c>
      <c r="N44" s="14">
        <f>D19*M44+I44</f>
        <v>21332</v>
      </c>
      <c r="O44" s="14">
        <f>E44+F44+L44</f>
        <v>4000.342454794521</v>
      </c>
      <c r="P44" s="46">
        <f>N44-L44-F44</f>
        <v>19832</v>
      </c>
      <c r="Q44" s="46">
        <f>P44</f>
        <v>19832</v>
      </c>
      <c r="R44" s="12">
        <f>IF(B29="Ja",1/(1+D$17)^1,1/(1+D$17)^C44)</f>
        <v>0.95238095238095233</v>
      </c>
      <c r="S44" s="46">
        <f>(P44-O44)*R44</f>
        <v>15077.769090671884</v>
      </c>
      <c r="T44" s="46">
        <f>T38+S44</f>
        <v>15077.769090671884</v>
      </c>
      <c r="U44" s="19">
        <f>U42+S44</f>
        <v>-73074.520446297218</v>
      </c>
      <c r="V44" s="17"/>
      <c r="W44" s="18"/>
    </row>
    <row r="45" spans="2:23" x14ac:dyDescent="0.3">
      <c r="B45" s="22">
        <f>IF($C45="","",(DATE(YEAR(B44)+1,MONTH(1),DAY(1))))</f>
        <v>46023</v>
      </c>
      <c r="C45" s="49">
        <f>IFERROR(IF(IF(B29="Ja",2,1)&lt;=$D$15,IF(B29="Ja",2,1),""),"")</f>
        <v>2</v>
      </c>
      <c r="D45" s="49"/>
      <c r="E45" s="56">
        <f>IF($C45="","",G44*D$11)</f>
        <v>2500</v>
      </c>
      <c r="F45" s="56">
        <f>IF($C45="","",IF(C45&lt;=$D$15,G44*$D$12,0))</f>
        <v>4000</v>
      </c>
      <c r="G45" s="56">
        <f>IF($C45="","",G44+E45-F45)</f>
        <v>48500</v>
      </c>
      <c r="H45" s="65">
        <f>IF($C45="","",J44*$D$23)</f>
        <v>12800</v>
      </c>
      <c r="I45" s="65">
        <f>IF($C45="","",$H45*$D$26)</f>
        <v>4265.5999999999995</v>
      </c>
      <c r="J45" s="59">
        <f>IF($C45="","",J44-H45)</f>
        <v>51200</v>
      </c>
      <c r="K45" s="3"/>
      <c r="L45" s="14">
        <f>IF($C45="","",$L44*(1+$D$22))</f>
        <v>1530</v>
      </c>
      <c r="M45" s="23">
        <f>IF($C45="","",M44*(1+D$21))</f>
        <v>0.20600000000000002</v>
      </c>
      <c r="N45" s="14">
        <f>IF($C45="","",D$19*M45+I45)</f>
        <v>20745.599999999999</v>
      </c>
      <c r="O45" s="14">
        <f>IF($C45="","",E45+F45+L45)</f>
        <v>8030</v>
      </c>
      <c r="P45" s="46">
        <f>IF($C45="","",N45-L45-F45)</f>
        <v>15215.599999999999</v>
      </c>
      <c r="Q45" s="46">
        <f>IF($C45="","",Q44+P45-O45)</f>
        <v>27017.599999999999</v>
      </c>
      <c r="R45" s="12">
        <f>IF($C45="","",1/(1+D$17)^(C45))</f>
        <v>0.90702947845804982</v>
      </c>
      <c r="S45" s="46">
        <f>IF($C45="","",(P45-O45)*R45)</f>
        <v>6517.5510204081611</v>
      </c>
      <c r="T45" s="46">
        <f>IF($C45="","",T44+S45)</f>
        <v>21595.320111080044</v>
      </c>
      <c r="U45" s="19">
        <f>IF($C45="","",U44+S45)</f>
        <v>-66556.969425889052</v>
      </c>
      <c r="V45" s="17"/>
      <c r="W45" s="18"/>
    </row>
    <row r="46" spans="2:23" x14ac:dyDescent="0.3">
      <c r="B46" s="22">
        <f>IF($C46="","",(DATE(YEAR(B45)+1,MONTH(1),DAY(1))))</f>
        <v>46388</v>
      </c>
      <c r="C46" s="49">
        <f>IFERROR(IF(C45+1&lt;=$D$15,C45+1,""),"")</f>
        <v>3</v>
      </c>
      <c r="D46" s="49"/>
      <c r="E46" s="56">
        <f>IF($C46="","",G45*D$11)</f>
        <v>2425</v>
      </c>
      <c r="F46" s="56">
        <f>IF($C46="","",IF(C46&lt;=$D$15,G45*$D$12,0))</f>
        <v>3880</v>
      </c>
      <c r="G46" s="56">
        <f>IF($C46="","",G45+E46-F46)</f>
        <v>47045</v>
      </c>
      <c r="H46" s="65">
        <f>IF($C46="","",J45*$D$23)</f>
        <v>10240</v>
      </c>
      <c r="I46" s="65">
        <f>IF($C46="","",$H46*$D$26)</f>
        <v>3412.48</v>
      </c>
      <c r="J46" s="59">
        <f>IF($C46="","",J45-H46)</f>
        <v>40960</v>
      </c>
      <c r="K46" s="3"/>
      <c r="L46" s="14">
        <f>IF($C46="","",$L45*(1+$D$22))</f>
        <v>1560.6000000000001</v>
      </c>
      <c r="M46" s="23">
        <f>IF($C46="","",M45*(1+D$21))</f>
        <v>0.21218000000000004</v>
      </c>
      <c r="N46" s="14">
        <f>IF($C46="","",D$19*M46+I46)</f>
        <v>20386.88</v>
      </c>
      <c r="O46" s="14">
        <f>IF($C46="","",E46+F46+L46)</f>
        <v>7865.6</v>
      </c>
      <c r="P46" s="46">
        <f>IF($C46="","",N46-L46-F46)</f>
        <v>14946.280000000002</v>
      </c>
      <c r="Q46" s="46">
        <f>IF($C46="","",Q45+P46-O46)</f>
        <v>34098.280000000006</v>
      </c>
      <c r="R46" s="12">
        <f>IF($C46="","",1/(1+D$17)^(C46))</f>
        <v>0.86383759853147601</v>
      </c>
      <c r="S46" s="46">
        <f>IF($C46="","",(P46-O46)*R46)</f>
        <v>6116.5576071698533</v>
      </c>
      <c r="T46" s="46">
        <f>IF($C46="","",T45+S46)</f>
        <v>27711.877718249896</v>
      </c>
      <c r="U46" s="19">
        <f>IF($C46="","",U45+S46)</f>
        <v>-60440.4118187192</v>
      </c>
      <c r="V46" s="17"/>
      <c r="W46" s="18"/>
    </row>
    <row r="47" spans="2:23" x14ac:dyDescent="0.3">
      <c r="B47" s="22">
        <f t="shared" ref="B47:B93" si="1">IF($C47="","",(DATE(YEAR(B46)+1,MONTH(1),DAY(1))))</f>
        <v>46753</v>
      </c>
      <c r="C47" s="49">
        <f>IFERROR(IF(C46+1&lt;=$D$15,C46+1,""),"")</f>
        <v>4</v>
      </c>
      <c r="D47" s="49"/>
      <c r="E47" s="56">
        <f t="shared" ref="E47:E64" si="2">IF($C47="","",G46*D$11)</f>
        <v>2352.25</v>
      </c>
      <c r="F47" s="56">
        <f>IF($C47="","",IF(C47&lt;=$D$15,G46*$D$12,0))</f>
        <v>3763.6</v>
      </c>
      <c r="G47" s="56">
        <f t="shared" ref="G47:G93" si="3">IF($C47="","",G46+E47-F47)</f>
        <v>45633.65</v>
      </c>
      <c r="H47" s="65">
        <f t="shared" ref="H47:H93" si="4">IF($C47="","",J46*$D$23)</f>
        <v>8192</v>
      </c>
      <c r="I47" s="65">
        <f t="shared" ref="I47:I93" si="5">IF($C47="","",$H47*$D$26)</f>
        <v>2729.9839999999999</v>
      </c>
      <c r="J47" s="59">
        <f t="shared" ref="J47:J93" si="6">IF($C47="","",J46-H47)</f>
        <v>32768</v>
      </c>
      <c r="K47" s="3"/>
      <c r="L47" s="14">
        <f t="shared" ref="L47:L85" si="7">IF($C47="","",$L46*(1+$D$22))</f>
        <v>1591.8120000000001</v>
      </c>
      <c r="M47" s="23">
        <f t="shared" ref="M47:M63" si="8">IF($C47="","",M46*(1+D$21))</f>
        <v>0.21854540000000003</v>
      </c>
      <c r="N47" s="14">
        <f>IF($C47="","",D$19*M47+I47)</f>
        <v>20213.616000000002</v>
      </c>
      <c r="O47" s="14">
        <f>IF($C47="","",E47+F47+L47)</f>
        <v>7707.6620000000003</v>
      </c>
      <c r="P47" s="46">
        <f>IF($C47="","",N47-L47-F47)</f>
        <v>14858.204</v>
      </c>
      <c r="Q47" s="46">
        <f>IF($C47="","",Q46+P47-O47)</f>
        <v>41248.822</v>
      </c>
      <c r="R47" s="12">
        <f>IF($C47="","",1/(1+D$17)^(C47))</f>
        <v>0.82270247479188197</v>
      </c>
      <c r="S47" s="46">
        <f>IF($C47="","",(P47-O47)*R47)</f>
        <v>5882.7685995032925</v>
      </c>
      <c r="T47" s="46">
        <f>IF($C47="","",T46+S47)</f>
        <v>33594.646317753191</v>
      </c>
      <c r="U47" s="19">
        <f>IF($C47="","",U46+S47)</f>
        <v>-54557.643219215905</v>
      </c>
      <c r="V47" s="17"/>
      <c r="W47" s="18"/>
    </row>
    <row r="48" spans="2:23" x14ac:dyDescent="0.3">
      <c r="B48" s="22">
        <f t="shared" si="1"/>
        <v>47119</v>
      </c>
      <c r="C48" s="49">
        <f t="shared" ref="C48:C93" si="9">IFERROR(IF(C47+1&lt;=$D$15,C47+1,""),"")</f>
        <v>5</v>
      </c>
      <c r="D48" s="49"/>
      <c r="E48" s="56">
        <f t="shared" si="2"/>
        <v>2281.6825000000003</v>
      </c>
      <c r="F48" s="56">
        <f t="shared" ref="F48:F93" si="10">IF($C48="","",IF(C48&lt;=$D$15,G47*$D$12,0))</f>
        <v>3650.692</v>
      </c>
      <c r="G48" s="56">
        <f t="shared" si="3"/>
        <v>44264.640500000001</v>
      </c>
      <c r="H48" s="65">
        <f t="shared" si="4"/>
        <v>6553.6</v>
      </c>
      <c r="I48" s="65">
        <f t="shared" si="5"/>
        <v>2183.9872</v>
      </c>
      <c r="J48" s="59">
        <f t="shared" si="6"/>
        <v>26214.400000000001</v>
      </c>
      <c r="K48" s="3"/>
      <c r="L48" s="14">
        <f t="shared" si="7"/>
        <v>1623.6482400000002</v>
      </c>
      <c r="M48" s="23">
        <f t="shared" si="8"/>
        <v>0.22510176200000004</v>
      </c>
      <c r="N48" s="14">
        <f t="shared" ref="N48:N86" si="11">IF($C48="","",D$19*M48+I48)</f>
        <v>20192.128160000004</v>
      </c>
      <c r="O48" s="14">
        <f t="shared" ref="O48:O87" si="12">IF($C48="","",E48+F48+L48)</f>
        <v>7556.0227400000003</v>
      </c>
      <c r="P48" s="46">
        <f t="shared" ref="P48:P87" si="13">IF($C48="","",N48-L48-F48)</f>
        <v>14917.787920000006</v>
      </c>
      <c r="Q48" s="46">
        <f t="shared" ref="Q48:Q91" si="14">IF($C48="","",Q47+P48-O48)</f>
        <v>48610.587180000002</v>
      </c>
      <c r="R48" s="12">
        <f>IF($C48="","",1/(1+D$17)^(C48))</f>
        <v>0.78352616646845896</v>
      </c>
      <c r="S48" s="46">
        <f t="shared" ref="S48:S86" si="15">IF($C48="","",(P48-O48)*R48)</f>
        <v>5768.1356499263893</v>
      </c>
      <c r="T48" s="46">
        <f t="shared" ref="T48:T85" si="16">IF($C48="","",T47+S48)</f>
        <v>39362.781967679577</v>
      </c>
      <c r="U48" s="19">
        <f t="shared" ref="U48:U89" si="17">IF($C48="","",U47+S48)</f>
        <v>-48789.507569289519</v>
      </c>
      <c r="V48" s="17"/>
      <c r="W48" s="18"/>
    </row>
    <row r="49" spans="2:23" x14ac:dyDescent="0.3">
      <c r="B49" s="22">
        <f t="shared" si="1"/>
        <v>47484</v>
      </c>
      <c r="C49" s="49">
        <f t="shared" si="9"/>
        <v>6</v>
      </c>
      <c r="D49" s="49"/>
      <c r="E49" s="56">
        <f t="shared" si="2"/>
        <v>2213.2320250000002</v>
      </c>
      <c r="F49" s="56">
        <f t="shared" si="10"/>
        <v>3541.1712400000001</v>
      </c>
      <c r="G49" s="56">
        <f t="shared" si="3"/>
        <v>42936.701284999996</v>
      </c>
      <c r="H49" s="65">
        <f t="shared" si="4"/>
        <v>5242.880000000001</v>
      </c>
      <c r="I49" s="65">
        <f t="shared" si="5"/>
        <v>1747.1897600000002</v>
      </c>
      <c r="J49" s="59">
        <f t="shared" si="6"/>
        <v>20971.52</v>
      </c>
      <c r="K49" s="3"/>
      <c r="L49" s="14">
        <f t="shared" si="7"/>
        <v>1656.1212048000002</v>
      </c>
      <c r="M49" s="23">
        <f t="shared" si="8"/>
        <v>0.23185481486000004</v>
      </c>
      <c r="N49" s="14">
        <f t="shared" si="11"/>
        <v>20295.574948800004</v>
      </c>
      <c r="O49" s="14">
        <f t="shared" si="12"/>
        <v>7410.5244698000006</v>
      </c>
      <c r="P49" s="46">
        <f t="shared" si="13"/>
        <v>15098.282504000003</v>
      </c>
      <c r="Q49" s="46">
        <f t="shared" si="14"/>
        <v>56298.345214200002</v>
      </c>
      <c r="R49" s="12">
        <f t="shared" ref="R49:R85" si="18">IF($C49="","",1/(1+D$17)^(C49))</f>
        <v>0.74621539663662761</v>
      </c>
      <c r="S49" s="46">
        <f t="shared" si="15"/>
        <v>5736.723410736975</v>
      </c>
      <c r="T49" s="46">
        <f t="shared" si="16"/>
        <v>45099.50537841655</v>
      </c>
      <c r="U49" s="19">
        <f t="shared" si="17"/>
        <v>-43052.784158552546</v>
      </c>
      <c r="V49" s="17"/>
    </row>
    <row r="50" spans="2:23" x14ac:dyDescent="0.3">
      <c r="B50" s="22">
        <f t="shared" si="1"/>
        <v>47849</v>
      </c>
      <c r="C50" s="49">
        <f t="shared" si="9"/>
        <v>7</v>
      </c>
      <c r="D50" s="49"/>
      <c r="E50" s="56">
        <f t="shared" si="2"/>
        <v>2146.83506425</v>
      </c>
      <c r="F50" s="56">
        <f t="shared" si="10"/>
        <v>3434.9361027999998</v>
      </c>
      <c r="G50" s="56">
        <f t="shared" si="3"/>
        <v>41648.600246449998</v>
      </c>
      <c r="H50" s="65">
        <f t="shared" si="4"/>
        <v>4194.3040000000001</v>
      </c>
      <c r="I50" s="65">
        <f t="shared" si="5"/>
        <v>1397.751808</v>
      </c>
      <c r="J50" s="59">
        <f t="shared" si="6"/>
        <v>16777.216</v>
      </c>
      <c r="K50" s="3"/>
      <c r="L50" s="14">
        <f t="shared" si="7"/>
        <v>1689.2436288960002</v>
      </c>
      <c r="M50" s="23">
        <f t="shared" si="8"/>
        <v>0.23881045930580005</v>
      </c>
      <c r="N50" s="14">
        <f t="shared" si="11"/>
        <v>20502.588552464007</v>
      </c>
      <c r="O50" s="14">
        <f t="shared" si="12"/>
        <v>7271.0147959459991</v>
      </c>
      <c r="P50" s="46">
        <f t="shared" si="13"/>
        <v>15378.408820768005</v>
      </c>
      <c r="Q50" s="46">
        <f t="shared" si="14"/>
        <v>64405.739239022005</v>
      </c>
      <c r="R50" s="12">
        <f t="shared" si="18"/>
        <v>0.71068133013012147</v>
      </c>
      <c r="S50" s="46">
        <f t="shared" si="15"/>
        <v>5761.7735694495022</v>
      </c>
      <c r="T50" s="46">
        <f t="shared" si="16"/>
        <v>50861.278947866056</v>
      </c>
      <c r="U50" s="19">
        <f t="shared" si="17"/>
        <v>-37291.01058910304</v>
      </c>
      <c r="V50" s="17"/>
    </row>
    <row r="51" spans="2:23" x14ac:dyDescent="0.3">
      <c r="B51" s="22">
        <f t="shared" si="1"/>
        <v>48214</v>
      </c>
      <c r="C51" s="49">
        <f t="shared" si="9"/>
        <v>8</v>
      </c>
      <c r="D51" s="49"/>
      <c r="E51" s="56">
        <f t="shared" si="2"/>
        <v>2082.4300123224998</v>
      </c>
      <c r="F51" s="56">
        <f t="shared" si="10"/>
        <v>3331.8880197159997</v>
      </c>
      <c r="G51" s="56">
        <f t="shared" si="3"/>
        <v>40399.142239056499</v>
      </c>
      <c r="H51" s="65">
        <f t="shared" si="4"/>
        <v>3355.4432000000002</v>
      </c>
      <c r="I51" s="65">
        <f t="shared" si="5"/>
        <v>1118.2014464000001</v>
      </c>
      <c r="J51" s="59">
        <f t="shared" si="6"/>
        <v>13421.772800000001</v>
      </c>
      <c r="K51" s="3"/>
      <c r="L51" s="14">
        <f t="shared" si="7"/>
        <v>1723.0285014739202</v>
      </c>
      <c r="M51" s="23">
        <f t="shared" si="8"/>
        <v>0.24597477308497406</v>
      </c>
      <c r="N51" s="14">
        <f t="shared" si="11"/>
        <v>20796.183293197922</v>
      </c>
      <c r="O51" s="14">
        <f t="shared" si="12"/>
        <v>7137.3465335124201</v>
      </c>
      <c r="P51" s="46">
        <f t="shared" si="13"/>
        <v>15741.266772008003</v>
      </c>
      <c r="Q51" s="46">
        <f t="shared" si="14"/>
        <v>73009.659477517591</v>
      </c>
      <c r="R51" s="12">
        <f t="shared" si="18"/>
        <v>0.67683936202868722</v>
      </c>
      <c r="S51" s="46">
        <f t="shared" si="15"/>
        <v>5823.4718851690604</v>
      </c>
      <c r="T51" s="46">
        <f t="shared" si="16"/>
        <v>56684.750833035119</v>
      </c>
      <c r="U51" s="19">
        <f t="shared" si="17"/>
        <v>-31467.53870393398</v>
      </c>
      <c r="V51" s="17"/>
    </row>
    <row r="52" spans="2:23" x14ac:dyDescent="0.3">
      <c r="B52" s="22">
        <f t="shared" si="1"/>
        <v>48580</v>
      </c>
      <c r="C52" s="49">
        <f t="shared" si="9"/>
        <v>9</v>
      </c>
      <c r="D52" s="49"/>
      <c r="E52" s="56">
        <f t="shared" si="2"/>
        <v>2019.957111952825</v>
      </c>
      <c r="F52" s="56">
        <f t="shared" si="10"/>
        <v>3231.9313791245199</v>
      </c>
      <c r="G52" s="56">
        <f t="shared" si="3"/>
        <v>39187.167971884803</v>
      </c>
      <c r="H52" s="65">
        <f t="shared" si="4"/>
        <v>2684.3545600000002</v>
      </c>
      <c r="I52" s="65">
        <f t="shared" si="5"/>
        <v>894.56115712000008</v>
      </c>
      <c r="J52" s="59">
        <f t="shared" si="6"/>
        <v>10737.418240000001</v>
      </c>
      <c r="K52" s="3"/>
      <c r="L52" s="14">
        <f t="shared" si="7"/>
        <v>1757.4890715033987</v>
      </c>
      <c r="M52" s="23">
        <f t="shared" si="8"/>
        <v>0.2533540162775233</v>
      </c>
      <c r="N52" s="14">
        <f t="shared" si="11"/>
        <v>21162.882459321863</v>
      </c>
      <c r="O52" s="14">
        <f t="shared" si="12"/>
        <v>7009.3775625807439</v>
      </c>
      <c r="P52" s="46">
        <f t="shared" si="13"/>
        <v>16173.462008693945</v>
      </c>
      <c r="Q52" s="46">
        <f t="shared" si="14"/>
        <v>82173.743923630784</v>
      </c>
      <c r="R52" s="12">
        <f t="shared" si="18"/>
        <v>0.64460891621779726</v>
      </c>
      <c r="S52" s="46">
        <f t="shared" si="15"/>
        <v>5907.2505429374032</v>
      </c>
      <c r="T52" s="46">
        <f t="shared" si="16"/>
        <v>62592.001375972526</v>
      </c>
      <c r="U52" s="19">
        <f t="shared" si="17"/>
        <v>-25560.288160996577</v>
      </c>
      <c r="V52" s="17"/>
    </row>
    <row r="53" spans="2:23" x14ac:dyDescent="0.3">
      <c r="B53" s="22">
        <f t="shared" si="1"/>
        <v>48945</v>
      </c>
      <c r="C53" s="49">
        <f t="shared" si="9"/>
        <v>10</v>
      </c>
      <c r="D53" s="49"/>
      <c r="E53" s="56">
        <f t="shared" si="2"/>
        <v>1959.3583985942403</v>
      </c>
      <c r="F53" s="56">
        <f t="shared" si="10"/>
        <v>3134.9734377507843</v>
      </c>
      <c r="G53" s="56">
        <f t="shared" si="3"/>
        <v>38011.552932728257</v>
      </c>
      <c r="H53" s="65">
        <f t="shared" si="4"/>
        <v>2147.4836480000004</v>
      </c>
      <c r="I53" s="65">
        <f t="shared" si="5"/>
        <v>715.64892569600011</v>
      </c>
      <c r="J53" s="59">
        <f t="shared" si="6"/>
        <v>8589.9345920000014</v>
      </c>
      <c r="K53" s="3"/>
      <c r="L53" s="14">
        <f t="shared" si="7"/>
        <v>1792.6388529334668</v>
      </c>
      <c r="M53" s="23">
        <f t="shared" si="8"/>
        <v>0.26095463676584901</v>
      </c>
      <c r="N53" s="14">
        <f t="shared" si="11"/>
        <v>21592.019866963921</v>
      </c>
      <c r="O53" s="14">
        <f t="shared" si="12"/>
        <v>6886.9706892784907</v>
      </c>
      <c r="P53" s="46">
        <f t="shared" si="13"/>
        <v>16664.407576279671</v>
      </c>
      <c r="Q53" s="46">
        <f t="shared" si="14"/>
        <v>91951.180810631966</v>
      </c>
      <c r="R53" s="12">
        <f t="shared" si="18"/>
        <v>0.61391325354075932</v>
      </c>
      <c r="S53" s="46">
        <f t="shared" si="15"/>
        <v>6002.4980905883285</v>
      </c>
      <c r="T53" s="46">
        <f t="shared" si="16"/>
        <v>68594.499466560854</v>
      </c>
      <c r="U53" s="19">
        <f t="shared" si="17"/>
        <v>-19557.790070408249</v>
      </c>
      <c r="V53" s="17"/>
      <c r="W53" s="18"/>
    </row>
    <row r="54" spans="2:23" x14ac:dyDescent="0.3">
      <c r="B54" s="22">
        <f t="shared" si="1"/>
        <v>49310</v>
      </c>
      <c r="C54" s="49">
        <f t="shared" si="9"/>
        <v>11</v>
      </c>
      <c r="D54" s="49"/>
      <c r="E54" s="56">
        <f t="shared" si="2"/>
        <v>1900.577646636413</v>
      </c>
      <c r="F54" s="56">
        <f t="shared" si="10"/>
        <v>3040.9242346182605</v>
      </c>
      <c r="G54" s="56">
        <f t="shared" si="3"/>
        <v>36871.20634474641</v>
      </c>
      <c r="H54" s="65">
        <f t="shared" si="4"/>
        <v>1717.9869184000004</v>
      </c>
      <c r="I54" s="65">
        <f t="shared" si="5"/>
        <v>572.51914055680015</v>
      </c>
      <c r="J54" s="59">
        <f t="shared" si="6"/>
        <v>6871.9476736000015</v>
      </c>
      <c r="K54" s="3"/>
      <c r="L54" s="14">
        <f t="shared" si="7"/>
        <v>1828.491629992136</v>
      </c>
      <c r="M54" s="23">
        <f t="shared" si="8"/>
        <v>0.2687832758688245</v>
      </c>
      <c r="N54" s="14">
        <f t="shared" si="11"/>
        <v>22075.181210062761</v>
      </c>
      <c r="O54" s="14">
        <f t="shared" si="12"/>
        <v>6769.9935112468092</v>
      </c>
      <c r="P54" s="46">
        <f t="shared" si="13"/>
        <v>17205.765345452364</v>
      </c>
      <c r="Q54" s="46">
        <f t="shared" si="14"/>
        <v>102386.95264483753</v>
      </c>
      <c r="R54" s="12">
        <f t="shared" si="18"/>
        <v>0.5846792890864374</v>
      </c>
      <c r="S54" s="46">
        <f t="shared" si="15"/>
        <v>6101.5796570915718</v>
      </c>
      <c r="T54" s="46">
        <f t="shared" si="16"/>
        <v>74696.079123652424</v>
      </c>
      <c r="U54" s="19">
        <f t="shared" si="17"/>
        <v>-13456.210413316678</v>
      </c>
      <c r="V54" s="17"/>
      <c r="W54" s="18"/>
    </row>
    <row r="55" spans="2:23" x14ac:dyDescent="0.3">
      <c r="B55" s="22">
        <f t="shared" si="1"/>
        <v>49675</v>
      </c>
      <c r="C55" s="49">
        <f t="shared" si="9"/>
        <v>12</v>
      </c>
      <c r="D55" s="49"/>
      <c r="E55" s="56">
        <f t="shared" si="2"/>
        <v>1843.5603172373205</v>
      </c>
      <c r="F55" s="56">
        <f t="shared" si="10"/>
        <v>2949.6965075797129</v>
      </c>
      <c r="G55" s="56">
        <f t="shared" si="3"/>
        <v>35765.07015440402</v>
      </c>
      <c r="H55" s="65">
        <f t="shared" si="4"/>
        <v>1374.3895347200005</v>
      </c>
      <c r="I55" s="65">
        <f t="shared" si="5"/>
        <v>458.01531244544014</v>
      </c>
      <c r="J55" s="59">
        <f t="shared" si="6"/>
        <v>5497.558138880001</v>
      </c>
      <c r="K55" s="3"/>
      <c r="L55" s="14">
        <f t="shared" si="7"/>
        <v>1865.0614625919789</v>
      </c>
      <c r="M55" s="23">
        <f t="shared" si="8"/>
        <v>0.27684677414488923</v>
      </c>
      <c r="N55" s="14">
        <f t="shared" si="11"/>
        <v>22605.75724403658</v>
      </c>
      <c r="O55" s="14">
        <f t="shared" si="12"/>
        <v>6658.3182874090126</v>
      </c>
      <c r="P55" s="46">
        <f t="shared" si="13"/>
        <v>17790.999273864887</v>
      </c>
      <c r="Q55" s="46">
        <f t="shared" si="14"/>
        <v>113519.6336312934</v>
      </c>
      <c r="R55" s="12">
        <f t="shared" si="18"/>
        <v>0.5568374181775595</v>
      </c>
      <c r="S55" s="46">
        <f t="shared" si="15"/>
        <v>6199.0933378924956</v>
      </c>
      <c r="T55" s="46">
        <f t="shared" si="16"/>
        <v>80895.17246154492</v>
      </c>
      <c r="U55" s="19">
        <f t="shared" si="17"/>
        <v>-7257.1170754241821</v>
      </c>
      <c r="V55" s="17"/>
      <c r="W55" s="18"/>
    </row>
    <row r="56" spans="2:23" x14ac:dyDescent="0.3">
      <c r="B56" s="22">
        <f t="shared" si="1"/>
        <v>50041</v>
      </c>
      <c r="C56" s="49">
        <f t="shared" si="9"/>
        <v>13</v>
      </c>
      <c r="D56" s="49"/>
      <c r="E56" s="56">
        <f t="shared" si="2"/>
        <v>1788.253507720201</v>
      </c>
      <c r="F56" s="56">
        <f t="shared" si="10"/>
        <v>2861.2056123523216</v>
      </c>
      <c r="G56" s="56">
        <f t="shared" si="3"/>
        <v>34692.118049771903</v>
      </c>
      <c r="H56" s="65">
        <f t="shared" si="4"/>
        <v>1099.5116277760003</v>
      </c>
      <c r="I56" s="65">
        <f t="shared" si="5"/>
        <v>366.41224995635207</v>
      </c>
      <c r="J56" s="59">
        <f t="shared" si="6"/>
        <v>4398.0465111040012</v>
      </c>
      <c r="K56" s="3"/>
      <c r="L56" s="14">
        <f t="shared" si="7"/>
        <v>1902.3626918438185</v>
      </c>
      <c r="M56" s="23">
        <f t="shared" si="8"/>
        <v>0.28515217736923593</v>
      </c>
      <c r="N56" s="14">
        <f t="shared" si="11"/>
        <v>23178.586439495226</v>
      </c>
      <c r="O56" s="14">
        <f t="shared" si="12"/>
        <v>6551.8218119163412</v>
      </c>
      <c r="P56" s="46">
        <f t="shared" si="13"/>
        <v>18415.018135299084</v>
      </c>
      <c r="Q56" s="46">
        <f t="shared" si="14"/>
        <v>125382.82995467616</v>
      </c>
      <c r="R56" s="12">
        <f t="shared" si="18"/>
        <v>0.53032135064529462</v>
      </c>
      <c r="S56" s="46">
        <f t="shared" si="15"/>
        <v>6291.3062971866293</v>
      </c>
      <c r="T56" s="46">
        <f t="shared" si="16"/>
        <v>87186.478758731551</v>
      </c>
      <c r="U56" s="19">
        <f t="shared" si="17"/>
        <v>-965.81077823755277</v>
      </c>
      <c r="V56" s="17"/>
      <c r="W56" s="18"/>
    </row>
    <row r="57" spans="2:23" x14ac:dyDescent="0.3">
      <c r="B57" s="22">
        <f t="shared" si="1"/>
        <v>50406</v>
      </c>
      <c r="C57" s="49">
        <f t="shared" si="9"/>
        <v>14</v>
      </c>
      <c r="D57" s="49"/>
      <c r="E57" s="56">
        <f t="shared" si="2"/>
        <v>1734.6059024885953</v>
      </c>
      <c r="F57" s="56">
        <f t="shared" si="10"/>
        <v>2775.3694439817523</v>
      </c>
      <c r="G57" s="56">
        <f t="shared" si="3"/>
        <v>33651.354508278746</v>
      </c>
      <c r="H57" s="65">
        <f t="shared" si="4"/>
        <v>879.60930222080026</v>
      </c>
      <c r="I57" s="65">
        <f t="shared" si="5"/>
        <v>293.1297999650817</v>
      </c>
      <c r="J57" s="59">
        <f t="shared" si="6"/>
        <v>3518.437208883201</v>
      </c>
      <c r="K57" s="3"/>
      <c r="L57" s="14">
        <f t="shared" si="7"/>
        <v>1940.409945680695</v>
      </c>
      <c r="M57" s="23">
        <f t="shared" si="8"/>
        <v>0.29370674269031299</v>
      </c>
      <c r="N57" s="14">
        <f t="shared" si="11"/>
        <v>23789.669215190122</v>
      </c>
      <c r="O57" s="14">
        <f t="shared" si="12"/>
        <v>6450.3852921510434</v>
      </c>
      <c r="P57" s="46">
        <f t="shared" si="13"/>
        <v>19073.889825527676</v>
      </c>
      <c r="Q57" s="46">
        <f t="shared" si="14"/>
        <v>138006.33448805279</v>
      </c>
      <c r="R57" s="12">
        <f t="shared" si="18"/>
        <v>0.50506795299551888</v>
      </c>
      <c r="S57" s="46">
        <f t="shared" si="15"/>
        <v>6375.7275943021887</v>
      </c>
      <c r="T57" s="46">
        <f t="shared" si="16"/>
        <v>93562.206353033747</v>
      </c>
      <c r="U57" s="19">
        <f t="shared" si="17"/>
        <v>5409.9168160646359</v>
      </c>
      <c r="V57" s="17"/>
      <c r="W57" s="18"/>
    </row>
    <row r="58" spans="2:23" x14ac:dyDescent="0.3">
      <c r="B58" s="22">
        <f t="shared" si="1"/>
        <v>50771</v>
      </c>
      <c r="C58" s="49">
        <f t="shared" si="9"/>
        <v>15</v>
      </c>
      <c r="D58" s="49"/>
      <c r="E58" s="56">
        <f t="shared" si="2"/>
        <v>1682.5677254139373</v>
      </c>
      <c r="F58" s="56">
        <f t="shared" si="10"/>
        <v>2692.1083606622997</v>
      </c>
      <c r="G58" s="56">
        <f t="shared" si="3"/>
        <v>32641.813873030384</v>
      </c>
      <c r="H58" s="65">
        <f t="shared" si="4"/>
        <v>703.6874417766403</v>
      </c>
      <c r="I58" s="65">
        <f t="shared" si="5"/>
        <v>234.50383997206538</v>
      </c>
      <c r="J58" s="59">
        <f t="shared" si="6"/>
        <v>2814.7497671065607</v>
      </c>
      <c r="K58" s="3"/>
      <c r="L58" s="14">
        <f t="shared" si="7"/>
        <v>1979.218144594309</v>
      </c>
      <c r="M58" s="23">
        <f t="shared" si="8"/>
        <v>0.30251794497102241</v>
      </c>
      <c r="N58" s="14">
        <f t="shared" si="11"/>
        <v>24435.939437653858</v>
      </c>
      <c r="O58" s="14">
        <f t="shared" si="12"/>
        <v>6353.8942306705458</v>
      </c>
      <c r="P58" s="46">
        <f t="shared" si="13"/>
        <v>19764.612932397249</v>
      </c>
      <c r="Q58" s="46">
        <f t="shared" si="14"/>
        <v>151417.05318977949</v>
      </c>
      <c r="R58" s="12">
        <f t="shared" si="18"/>
        <v>0.48101709809097021</v>
      </c>
      <c r="S58" s="46">
        <f t="shared" si="15"/>
        <v>6450.7849932188819</v>
      </c>
      <c r="T58" s="46">
        <f t="shared" si="16"/>
        <v>100012.99134625263</v>
      </c>
      <c r="U58" s="19">
        <f t="shared" si="17"/>
        <v>11860.701809283517</v>
      </c>
      <c r="V58" s="17"/>
      <c r="W58" s="18"/>
    </row>
    <row r="59" spans="2:23" x14ac:dyDescent="0.3">
      <c r="B59" s="22">
        <f t="shared" si="1"/>
        <v>51136</v>
      </c>
      <c r="C59" s="49">
        <f t="shared" si="9"/>
        <v>16</v>
      </c>
      <c r="D59" s="49"/>
      <c r="E59" s="56">
        <f t="shared" si="2"/>
        <v>1632.0906936515194</v>
      </c>
      <c r="F59" s="56">
        <f t="shared" si="10"/>
        <v>2611.3451098424307</v>
      </c>
      <c r="G59" s="56">
        <f t="shared" si="3"/>
        <v>31662.55945683947</v>
      </c>
      <c r="H59" s="65">
        <f t="shared" si="4"/>
        <v>562.94995342131222</v>
      </c>
      <c r="I59" s="65">
        <f t="shared" si="5"/>
        <v>187.60307197765229</v>
      </c>
      <c r="J59" s="59">
        <f t="shared" si="6"/>
        <v>2251.7998136852484</v>
      </c>
      <c r="K59" s="3"/>
      <c r="L59" s="14">
        <f t="shared" si="7"/>
        <v>2018.8025074861953</v>
      </c>
      <c r="M59" s="23">
        <f t="shared" si="8"/>
        <v>0.31159348332015308</v>
      </c>
      <c r="N59" s="14">
        <f t="shared" si="11"/>
        <v>25115.081737589899</v>
      </c>
      <c r="O59" s="14">
        <f t="shared" si="12"/>
        <v>6262.2383109801458</v>
      </c>
      <c r="P59" s="46">
        <f t="shared" si="13"/>
        <v>20484.934120261274</v>
      </c>
      <c r="Q59" s="46">
        <f t="shared" si="14"/>
        <v>165639.74899906063</v>
      </c>
      <c r="R59" s="12">
        <f t="shared" si="18"/>
        <v>0.45811152199140021</v>
      </c>
      <c r="S59" s="46">
        <f t="shared" si="15"/>
        <v>6515.580824010488</v>
      </c>
      <c r="T59" s="46">
        <f t="shared" si="16"/>
        <v>106528.57217026311</v>
      </c>
      <c r="U59" s="19">
        <f t="shared" si="17"/>
        <v>18376.282633294006</v>
      </c>
      <c r="V59" s="17"/>
      <c r="W59" s="18"/>
    </row>
    <row r="60" spans="2:23" x14ac:dyDescent="0.3">
      <c r="B60" s="22">
        <f t="shared" si="1"/>
        <v>51502</v>
      </c>
      <c r="C60" s="49">
        <f t="shared" si="9"/>
        <v>17</v>
      </c>
      <c r="D60" s="49"/>
      <c r="E60" s="56">
        <f>IF($C60="","",G59*D$11)</f>
        <v>1583.1279728419736</v>
      </c>
      <c r="F60" s="56">
        <f t="shared" si="10"/>
        <v>2533.0047565471577</v>
      </c>
      <c r="G60" s="56">
        <f t="shared" si="3"/>
        <v>30712.682673134284</v>
      </c>
      <c r="H60" s="65">
        <f t="shared" si="4"/>
        <v>450.35996273704973</v>
      </c>
      <c r="I60" s="65">
        <f t="shared" si="5"/>
        <v>150.0824575821218</v>
      </c>
      <c r="J60" s="59">
        <f t="shared" si="6"/>
        <v>1801.4398509481987</v>
      </c>
      <c r="K60" s="3"/>
      <c r="L60" s="14">
        <f t="shared" si="7"/>
        <v>2059.1785576359193</v>
      </c>
      <c r="M60" s="23">
        <f t="shared" si="8"/>
        <v>0.32094128781975767</v>
      </c>
      <c r="N60" s="14">
        <f t="shared" si="11"/>
        <v>25825.385483162736</v>
      </c>
      <c r="O60" s="14">
        <f t="shared" si="12"/>
        <v>6175.3112870250516</v>
      </c>
      <c r="P60" s="46">
        <f t="shared" si="13"/>
        <v>21233.20216897966</v>
      </c>
      <c r="Q60" s="46">
        <f t="shared" si="14"/>
        <v>180697.63988101523</v>
      </c>
      <c r="R60" s="12">
        <f t="shared" si="18"/>
        <v>0.43629668761085727</v>
      </c>
      <c r="S60" s="46">
        <f t="shared" si="15"/>
        <v>6569.7079142025259</v>
      </c>
      <c r="T60" s="46">
        <f t="shared" si="16"/>
        <v>113098.28008446564</v>
      </c>
      <c r="U60" s="19">
        <f t="shared" si="17"/>
        <v>24945.990547496531</v>
      </c>
      <c r="V60" s="17"/>
      <c r="W60" s="18"/>
    </row>
    <row r="61" spans="2:23" x14ac:dyDescent="0.3">
      <c r="B61" s="22">
        <f t="shared" si="1"/>
        <v>51867</v>
      </c>
      <c r="C61" s="49">
        <f t="shared" si="9"/>
        <v>18</v>
      </c>
      <c r="D61" s="49"/>
      <c r="E61" s="56">
        <f>IF($C61="","",G60*D$11)</f>
        <v>1535.6341336567143</v>
      </c>
      <c r="F61" s="56">
        <f t="shared" si="10"/>
        <v>2457.014613850743</v>
      </c>
      <c r="G61" s="56">
        <f t="shared" si="3"/>
        <v>29791.302192940253</v>
      </c>
      <c r="H61" s="65">
        <f t="shared" si="4"/>
        <v>360.28797018963974</v>
      </c>
      <c r="I61" s="65">
        <f t="shared" si="5"/>
        <v>120.06596606569744</v>
      </c>
      <c r="J61" s="59">
        <f t="shared" si="6"/>
        <v>1441.1518807585589</v>
      </c>
      <c r="K61" s="3"/>
      <c r="L61" s="14">
        <f t="shared" si="7"/>
        <v>2100.3621287886376</v>
      </c>
      <c r="M61" s="23">
        <f t="shared" si="8"/>
        <v>0.33056952645435039</v>
      </c>
      <c r="N61" s="14">
        <f t="shared" si="11"/>
        <v>26565.628082413728</v>
      </c>
      <c r="O61" s="14">
        <f t="shared" si="12"/>
        <v>6093.0108762960954</v>
      </c>
      <c r="P61" s="46">
        <f t="shared" si="13"/>
        <v>22008.251339774346</v>
      </c>
      <c r="Q61" s="46">
        <f t="shared" si="14"/>
        <v>196612.88034449349</v>
      </c>
      <c r="R61" s="12">
        <f t="shared" si="18"/>
        <v>0.41552065486748313</v>
      </c>
      <c r="S61" s="46">
        <f t="shared" si="15"/>
        <v>6613.111139757948</v>
      </c>
      <c r="T61" s="46">
        <f t="shared" si="16"/>
        <v>119711.3912242236</v>
      </c>
      <c r="U61" s="19">
        <f t="shared" si="17"/>
        <v>31559.101687254479</v>
      </c>
      <c r="V61" s="17"/>
      <c r="W61" s="18"/>
    </row>
    <row r="62" spans="2:23" x14ac:dyDescent="0.3">
      <c r="B62" s="22">
        <f t="shared" si="1"/>
        <v>52232</v>
      </c>
      <c r="C62" s="49">
        <f t="shared" si="9"/>
        <v>19</v>
      </c>
      <c r="D62" s="49"/>
      <c r="E62" s="56">
        <f t="shared" si="2"/>
        <v>1489.5651096470128</v>
      </c>
      <c r="F62" s="56">
        <f t="shared" si="10"/>
        <v>2383.3041754352203</v>
      </c>
      <c r="G62" s="56">
        <f t="shared" si="3"/>
        <v>28897.563127152047</v>
      </c>
      <c r="H62" s="65">
        <f t="shared" si="4"/>
        <v>288.23037615171182</v>
      </c>
      <c r="I62" s="65">
        <f t="shared" si="5"/>
        <v>96.052772852557965</v>
      </c>
      <c r="J62" s="59">
        <f t="shared" si="6"/>
        <v>1152.9215046068471</v>
      </c>
      <c r="K62" s="3"/>
      <c r="L62" s="14">
        <f t="shared" si="7"/>
        <v>2142.3693713644102</v>
      </c>
      <c r="M62" s="23">
        <f t="shared" si="8"/>
        <v>0.34048661224798094</v>
      </c>
      <c r="N62" s="14">
        <f t="shared" si="11"/>
        <v>27334.981752691034</v>
      </c>
      <c r="O62" s="14">
        <f t="shared" si="12"/>
        <v>6015.2386564466433</v>
      </c>
      <c r="P62" s="46">
        <f t="shared" si="13"/>
        <v>22809.308205891404</v>
      </c>
      <c r="Q62" s="46">
        <f t="shared" si="14"/>
        <v>213406.94989393826</v>
      </c>
      <c r="R62" s="12">
        <f t="shared" si="18"/>
        <v>0.39573395701665059</v>
      </c>
      <c r="S62" s="46">
        <f t="shared" si="15"/>
        <v>6645.9835972146138</v>
      </c>
      <c r="T62" s="46">
        <f t="shared" si="16"/>
        <v>126357.37482143821</v>
      </c>
      <c r="U62" s="19">
        <f t="shared" si="17"/>
        <v>38205.085284469096</v>
      </c>
      <c r="V62" s="17"/>
      <c r="W62" s="18"/>
    </row>
    <row r="63" spans="2:23" x14ac:dyDescent="0.3">
      <c r="B63" s="22">
        <f t="shared" si="1"/>
        <v>52597</v>
      </c>
      <c r="C63" s="49">
        <f t="shared" si="9"/>
        <v>20</v>
      </c>
      <c r="D63" s="49"/>
      <c r="E63" s="56">
        <f t="shared" si="2"/>
        <v>1444.8781563576024</v>
      </c>
      <c r="F63" s="56">
        <f t="shared" si="10"/>
        <v>2311.8050501721636</v>
      </c>
      <c r="G63" s="56">
        <f t="shared" si="3"/>
        <v>28030.636233337485</v>
      </c>
      <c r="H63" s="65">
        <f t="shared" si="4"/>
        <v>230.58430092136942</v>
      </c>
      <c r="I63" s="65">
        <f t="shared" si="5"/>
        <v>76.84221828204636</v>
      </c>
      <c r="J63" s="59">
        <f t="shared" si="6"/>
        <v>922.33720368547768</v>
      </c>
      <c r="K63" s="3"/>
      <c r="L63" s="14">
        <f t="shared" si="7"/>
        <v>2185.2167587916983</v>
      </c>
      <c r="M63" s="23">
        <f t="shared" si="8"/>
        <v>0.35070121061542037</v>
      </c>
      <c r="N63" s="14">
        <f t="shared" si="11"/>
        <v>28132.939067515676</v>
      </c>
      <c r="O63" s="14">
        <f t="shared" si="12"/>
        <v>5941.8999653214642</v>
      </c>
      <c r="P63" s="46">
        <f t="shared" si="13"/>
        <v>23635.917258551814</v>
      </c>
      <c r="Q63" s="46">
        <f t="shared" si="14"/>
        <v>231100.9671871686</v>
      </c>
      <c r="R63" s="12">
        <f t="shared" si="18"/>
        <v>0.37688948287300061</v>
      </c>
      <c r="S63" s="46">
        <f t="shared" si="15"/>
        <v>6668.6890275915166</v>
      </c>
      <c r="T63" s="46">
        <f t="shared" si="16"/>
        <v>133026.06384902971</v>
      </c>
      <c r="U63" s="19">
        <f t="shared" si="17"/>
        <v>44873.77431206061</v>
      </c>
      <c r="V63" s="17"/>
      <c r="W63" s="18"/>
    </row>
    <row r="64" spans="2:23" x14ac:dyDescent="0.3">
      <c r="B64" s="22" t="str">
        <f t="shared" si="1"/>
        <v/>
      </c>
      <c r="C64" s="49" t="str">
        <f t="shared" si="9"/>
        <v/>
      </c>
      <c r="D64" s="48"/>
      <c r="E64" s="56" t="str">
        <f t="shared" si="2"/>
        <v/>
      </c>
      <c r="F64" s="56" t="str">
        <f t="shared" si="10"/>
        <v/>
      </c>
      <c r="G64" s="56" t="str">
        <f t="shared" si="3"/>
        <v/>
      </c>
      <c r="H64" s="65" t="str">
        <f t="shared" si="4"/>
        <v/>
      </c>
      <c r="I64" s="65" t="str">
        <f t="shared" si="5"/>
        <v/>
      </c>
      <c r="J64" s="59" t="str">
        <f t="shared" si="6"/>
        <v/>
      </c>
      <c r="K64" s="24"/>
      <c r="L64" s="14" t="str">
        <f t="shared" si="7"/>
        <v/>
      </c>
      <c r="M64" s="23" t="str">
        <f>IF($C64="","",M63*(1+D$21))</f>
        <v/>
      </c>
      <c r="N64" s="14" t="str">
        <f t="shared" si="11"/>
        <v/>
      </c>
      <c r="O64" s="14" t="str">
        <f t="shared" si="12"/>
        <v/>
      </c>
      <c r="P64" s="46" t="str">
        <f t="shared" si="13"/>
        <v/>
      </c>
      <c r="Q64" s="46" t="str">
        <f t="shared" si="14"/>
        <v/>
      </c>
      <c r="R64" s="12" t="str">
        <f t="shared" si="18"/>
        <v/>
      </c>
      <c r="S64" s="46" t="str">
        <f t="shared" si="15"/>
        <v/>
      </c>
      <c r="T64" s="46" t="str">
        <f t="shared" si="16"/>
        <v/>
      </c>
      <c r="U64" s="19" t="str">
        <f t="shared" si="17"/>
        <v/>
      </c>
      <c r="V64" s="17"/>
      <c r="W64" s="18"/>
    </row>
    <row r="65" spans="2:21" x14ac:dyDescent="0.3">
      <c r="B65" s="22" t="str">
        <f t="shared" si="1"/>
        <v/>
      </c>
      <c r="C65" s="49" t="str">
        <f t="shared" si="9"/>
        <v/>
      </c>
      <c r="D65" s="49"/>
      <c r="E65" s="56" t="str">
        <f>IF($C65="","",G64*D$11)</f>
        <v/>
      </c>
      <c r="F65" s="56" t="str">
        <f t="shared" si="10"/>
        <v/>
      </c>
      <c r="G65" s="56" t="str">
        <f t="shared" si="3"/>
        <v/>
      </c>
      <c r="H65" s="65" t="str">
        <f t="shared" si="4"/>
        <v/>
      </c>
      <c r="I65" s="65" t="str">
        <f t="shared" si="5"/>
        <v/>
      </c>
      <c r="J65" s="59" t="str">
        <f t="shared" si="6"/>
        <v/>
      </c>
      <c r="K65" s="3"/>
      <c r="L65" s="14" t="str">
        <f t="shared" si="7"/>
        <v/>
      </c>
      <c r="M65" s="23" t="str">
        <f>IF($C65="","",M64*(1+D$21))</f>
        <v/>
      </c>
      <c r="N65" s="14" t="str">
        <f t="shared" si="11"/>
        <v/>
      </c>
      <c r="O65" s="14" t="str">
        <f t="shared" si="12"/>
        <v/>
      </c>
      <c r="P65" s="46" t="str">
        <f t="shared" si="13"/>
        <v/>
      </c>
      <c r="Q65" s="46" t="str">
        <f t="shared" si="14"/>
        <v/>
      </c>
      <c r="R65" s="12" t="str">
        <f t="shared" si="18"/>
        <v/>
      </c>
      <c r="S65" s="46" t="str">
        <f t="shared" si="15"/>
        <v/>
      </c>
      <c r="T65" s="46" t="str">
        <f t="shared" si="16"/>
        <v/>
      </c>
      <c r="U65" s="19" t="str">
        <f t="shared" si="17"/>
        <v/>
      </c>
    </row>
    <row r="66" spans="2:21" x14ac:dyDescent="0.3">
      <c r="B66" s="22" t="str">
        <f t="shared" si="1"/>
        <v/>
      </c>
      <c r="C66" s="49" t="str">
        <f t="shared" si="9"/>
        <v/>
      </c>
      <c r="D66" s="49"/>
      <c r="E66" s="56" t="str">
        <f>IF($C66="","",G65*D$11)</f>
        <v/>
      </c>
      <c r="F66" s="56" t="str">
        <f t="shared" si="10"/>
        <v/>
      </c>
      <c r="G66" s="56" t="str">
        <f t="shared" si="3"/>
        <v/>
      </c>
      <c r="H66" s="65" t="str">
        <f t="shared" si="4"/>
        <v/>
      </c>
      <c r="I66" s="65" t="str">
        <f t="shared" si="5"/>
        <v/>
      </c>
      <c r="J66" s="59" t="str">
        <f t="shared" si="6"/>
        <v/>
      </c>
      <c r="K66" s="3"/>
      <c r="L66" s="14" t="str">
        <f t="shared" si="7"/>
        <v/>
      </c>
      <c r="M66" s="23" t="str">
        <f t="shared" ref="M66:M82" si="19">IF($C66="","",M65*(1+D$21))</f>
        <v/>
      </c>
      <c r="N66" s="14" t="str">
        <f t="shared" si="11"/>
        <v/>
      </c>
      <c r="O66" s="14" t="str">
        <f t="shared" si="12"/>
        <v/>
      </c>
      <c r="P66" s="46" t="str">
        <f t="shared" si="13"/>
        <v/>
      </c>
      <c r="Q66" s="46" t="str">
        <f t="shared" si="14"/>
        <v/>
      </c>
      <c r="R66" s="12" t="str">
        <f t="shared" si="18"/>
        <v/>
      </c>
      <c r="S66" s="46" t="str">
        <f t="shared" si="15"/>
        <v/>
      </c>
      <c r="T66" s="46" t="str">
        <f t="shared" si="16"/>
        <v/>
      </c>
      <c r="U66" s="19" t="str">
        <f t="shared" si="17"/>
        <v/>
      </c>
    </row>
    <row r="67" spans="2:21" x14ac:dyDescent="0.3">
      <c r="B67" s="22" t="str">
        <f t="shared" si="1"/>
        <v/>
      </c>
      <c r="C67" s="49" t="str">
        <f t="shared" si="9"/>
        <v/>
      </c>
      <c r="D67" s="49"/>
      <c r="E67" s="56" t="str">
        <f t="shared" ref="E67:E79" si="20">IF($C67="","",G66*D$11)</f>
        <v/>
      </c>
      <c r="F67" s="56" t="str">
        <f t="shared" si="10"/>
        <v/>
      </c>
      <c r="G67" s="56" t="str">
        <f t="shared" si="3"/>
        <v/>
      </c>
      <c r="H67" s="65" t="str">
        <f t="shared" si="4"/>
        <v/>
      </c>
      <c r="I67" s="65" t="str">
        <f t="shared" si="5"/>
        <v/>
      </c>
      <c r="J67" s="59" t="str">
        <f t="shared" si="6"/>
        <v/>
      </c>
      <c r="K67" s="3"/>
      <c r="L67" s="14" t="str">
        <f t="shared" si="7"/>
        <v/>
      </c>
      <c r="M67" s="23" t="str">
        <f t="shared" si="19"/>
        <v/>
      </c>
      <c r="N67" s="14" t="str">
        <f t="shared" si="11"/>
        <v/>
      </c>
      <c r="O67" s="14" t="str">
        <f t="shared" si="12"/>
        <v/>
      </c>
      <c r="P67" s="46" t="str">
        <f t="shared" si="13"/>
        <v/>
      </c>
      <c r="Q67" s="46" t="str">
        <f t="shared" si="14"/>
        <v/>
      </c>
      <c r="R67" s="12" t="str">
        <f t="shared" si="18"/>
        <v/>
      </c>
      <c r="S67" s="46" t="str">
        <f t="shared" si="15"/>
        <v/>
      </c>
      <c r="T67" s="46" t="str">
        <f t="shared" si="16"/>
        <v/>
      </c>
      <c r="U67" s="19" t="str">
        <f t="shared" si="17"/>
        <v/>
      </c>
    </row>
    <row r="68" spans="2:21" x14ac:dyDescent="0.3">
      <c r="B68" s="22" t="str">
        <f t="shared" si="1"/>
        <v/>
      </c>
      <c r="C68" s="49" t="str">
        <f t="shared" si="9"/>
        <v/>
      </c>
      <c r="D68" s="49"/>
      <c r="E68" s="56" t="str">
        <f t="shared" si="20"/>
        <v/>
      </c>
      <c r="F68" s="56" t="str">
        <f t="shared" si="10"/>
        <v/>
      </c>
      <c r="G68" s="56" t="str">
        <f t="shared" si="3"/>
        <v/>
      </c>
      <c r="H68" s="65" t="str">
        <f t="shared" si="4"/>
        <v/>
      </c>
      <c r="I68" s="65" t="str">
        <f t="shared" si="5"/>
        <v/>
      </c>
      <c r="J68" s="59" t="str">
        <f t="shared" si="6"/>
        <v/>
      </c>
      <c r="K68" s="3"/>
      <c r="L68" s="14" t="str">
        <f t="shared" si="7"/>
        <v/>
      </c>
      <c r="M68" s="23" t="str">
        <f t="shared" si="19"/>
        <v/>
      </c>
      <c r="N68" s="14" t="str">
        <f t="shared" si="11"/>
        <v/>
      </c>
      <c r="O68" s="14" t="str">
        <f t="shared" si="12"/>
        <v/>
      </c>
      <c r="P68" s="46" t="str">
        <f t="shared" si="13"/>
        <v/>
      </c>
      <c r="Q68" s="46" t="str">
        <f t="shared" si="14"/>
        <v/>
      </c>
      <c r="R68" s="12" t="str">
        <f t="shared" si="18"/>
        <v/>
      </c>
      <c r="S68" s="46" t="str">
        <f t="shared" si="15"/>
        <v/>
      </c>
      <c r="T68" s="46" t="str">
        <f t="shared" si="16"/>
        <v/>
      </c>
      <c r="U68" s="19" t="str">
        <f t="shared" si="17"/>
        <v/>
      </c>
    </row>
    <row r="69" spans="2:21" x14ac:dyDescent="0.3">
      <c r="B69" s="22" t="str">
        <f t="shared" si="1"/>
        <v/>
      </c>
      <c r="C69" s="49" t="str">
        <f t="shared" si="9"/>
        <v/>
      </c>
      <c r="D69" s="49"/>
      <c r="E69" s="56" t="str">
        <f t="shared" si="20"/>
        <v/>
      </c>
      <c r="F69" s="56" t="str">
        <f t="shared" si="10"/>
        <v/>
      </c>
      <c r="G69" s="56" t="str">
        <f t="shared" si="3"/>
        <v/>
      </c>
      <c r="H69" s="65" t="str">
        <f t="shared" si="4"/>
        <v/>
      </c>
      <c r="I69" s="65" t="str">
        <f t="shared" si="5"/>
        <v/>
      </c>
      <c r="J69" s="59" t="str">
        <f t="shared" si="6"/>
        <v/>
      </c>
      <c r="K69" s="3"/>
      <c r="L69" s="14" t="str">
        <f t="shared" si="7"/>
        <v/>
      </c>
      <c r="M69" s="23" t="str">
        <f t="shared" si="19"/>
        <v/>
      </c>
      <c r="N69" s="14" t="str">
        <f t="shared" si="11"/>
        <v/>
      </c>
      <c r="O69" s="14" t="str">
        <f t="shared" si="12"/>
        <v/>
      </c>
      <c r="P69" s="46" t="str">
        <f t="shared" si="13"/>
        <v/>
      </c>
      <c r="Q69" s="46" t="str">
        <f t="shared" si="14"/>
        <v/>
      </c>
      <c r="R69" s="12" t="str">
        <f t="shared" si="18"/>
        <v/>
      </c>
      <c r="S69" s="46" t="str">
        <f t="shared" si="15"/>
        <v/>
      </c>
      <c r="T69" s="46" t="str">
        <f t="shared" si="16"/>
        <v/>
      </c>
      <c r="U69" s="19" t="str">
        <f t="shared" si="17"/>
        <v/>
      </c>
    </row>
    <row r="70" spans="2:21" x14ac:dyDescent="0.3">
      <c r="B70" s="22" t="str">
        <f t="shared" si="1"/>
        <v/>
      </c>
      <c r="C70" s="49" t="str">
        <f t="shared" si="9"/>
        <v/>
      </c>
      <c r="D70" s="49"/>
      <c r="E70" s="56" t="str">
        <f t="shared" si="20"/>
        <v/>
      </c>
      <c r="F70" s="56" t="str">
        <f t="shared" si="10"/>
        <v/>
      </c>
      <c r="G70" s="56" t="str">
        <f t="shared" si="3"/>
        <v/>
      </c>
      <c r="H70" s="65" t="str">
        <f t="shared" si="4"/>
        <v/>
      </c>
      <c r="I70" s="65" t="str">
        <f t="shared" si="5"/>
        <v/>
      </c>
      <c r="J70" s="59" t="str">
        <f t="shared" si="6"/>
        <v/>
      </c>
      <c r="K70" s="3"/>
      <c r="L70" s="14" t="str">
        <f t="shared" si="7"/>
        <v/>
      </c>
      <c r="M70" s="23" t="str">
        <f t="shared" si="19"/>
        <v/>
      </c>
      <c r="N70" s="14" t="str">
        <f t="shared" si="11"/>
        <v/>
      </c>
      <c r="O70" s="14" t="str">
        <f t="shared" si="12"/>
        <v/>
      </c>
      <c r="P70" s="46" t="str">
        <f t="shared" si="13"/>
        <v/>
      </c>
      <c r="Q70" s="46" t="str">
        <f t="shared" si="14"/>
        <v/>
      </c>
      <c r="R70" s="12" t="str">
        <f t="shared" si="18"/>
        <v/>
      </c>
      <c r="S70" s="46" t="str">
        <f t="shared" si="15"/>
        <v/>
      </c>
      <c r="T70" s="46" t="str">
        <f t="shared" si="16"/>
        <v/>
      </c>
      <c r="U70" s="19" t="str">
        <f t="shared" si="17"/>
        <v/>
      </c>
    </row>
    <row r="71" spans="2:21" x14ac:dyDescent="0.3">
      <c r="B71" s="22" t="str">
        <f t="shared" si="1"/>
        <v/>
      </c>
      <c r="C71" s="49" t="str">
        <f t="shared" si="9"/>
        <v/>
      </c>
      <c r="D71" s="49"/>
      <c r="E71" s="56" t="str">
        <f t="shared" si="20"/>
        <v/>
      </c>
      <c r="F71" s="56" t="str">
        <f t="shared" si="10"/>
        <v/>
      </c>
      <c r="G71" s="56" t="str">
        <f t="shared" si="3"/>
        <v/>
      </c>
      <c r="H71" s="65" t="str">
        <f t="shared" si="4"/>
        <v/>
      </c>
      <c r="I71" s="65" t="str">
        <f t="shared" si="5"/>
        <v/>
      </c>
      <c r="J71" s="59" t="str">
        <f t="shared" si="6"/>
        <v/>
      </c>
      <c r="K71" s="3"/>
      <c r="L71" s="14" t="str">
        <f t="shared" si="7"/>
        <v/>
      </c>
      <c r="M71" s="23" t="str">
        <f t="shared" si="19"/>
        <v/>
      </c>
      <c r="N71" s="14" t="str">
        <f t="shared" si="11"/>
        <v/>
      </c>
      <c r="O71" s="14" t="str">
        <f t="shared" si="12"/>
        <v/>
      </c>
      <c r="P71" s="46" t="str">
        <f t="shared" si="13"/>
        <v/>
      </c>
      <c r="Q71" s="46" t="str">
        <f t="shared" si="14"/>
        <v/>
      </c>
      <c r="R71" s="12" t="str">
        <f t="shared" si="18"/>
        <v/>
      </c>
      <c r="S71" s="46" t="str">
        <f t="shared" si="15"/>
        <v/>
      </c>
      <c r="T71" s="46" t="str">
        <f t="shared" si="16"/>
        <v/>
      </c>
      <c r="U71" s="19" t="str">
        <f t="shared" si="17"/>
        <v/>
      </c>
    </row>
    <row r="72" spans="2:21" x14ac:dyDescent="0.3">
      <c r="B72" s="22" t="str">
        <f t="shared" si="1"/>
        <v/>
      </c>
      <c r="C72" s="49" t="str">
        <f t="shared" si="9"/>
        <v/>
      </c>
      <c r="D72" s="49"/>
      <c r="E72" s="56" t="str">
        <f t="shared" si="20"/>
        <v/>
      </c>
      <c r="F72" s="56" t="str">
        <f t="shared" si="10"/>
        <v/>
      </c>
      <c r="G72" s="56" t="str">
        <f t="shared" si="3"/>
        <v/>
      </c>
      <c r="H72" s="65" t="str">
        <f t="shared" si="4"/>
        <v/>
      </c>
      <c r="I72" s="65" t="str">
        <f t="shared" si="5"/>
        <v/>
      </c>
      <c r="J72" s="59" t="str">
        <f t="shared" si="6"/>
        <v/>
      </c>
      <c r="K72" s="3"/>
      <c r="L72" s="14" t="str">
        <f t="shared" si="7"/>
        <v/>
      </c>
      <c r="M72" s="23" t="str">
        <f t="shared" si="19"/>
        <v/>
      </c>
      <c r="N72" s="14" t="str">
        <f t="shared" si="11"/>
        <v/>
      </c>
      <c r="O72" s="14" t="str">
        <f t="shared" si="12"/>
        <v/>
      </c>
      <c r="P72" s="46" t="str">
        <f t="shared" si="13"/>
        <v/>
      </c>
      <c r="Q72" s="46" t="str">
        <f t="shared" si="14"/>
        <v/>
      </c>
      <c r="R72" s="12" t="str">
        <f t="shared" si="18"/>
        <v/>
      </c>
      <c r="S72" s="46" t="str">
        <f t="shared" si="15"/>
        <v/>
      </c>
      <c r="T72" s="46" t="str">
        <f t="shared" si="16"/>
        <v/>
      </c>
      <c r="U72" s="19" t="str">
        <f t="shared" si="17"/>
        <v/>
      </c>
    </row>
    <row r="73" spans="2:21" x14ac:dyDescent="0.3">
      <c r="B73" s="22" t="str">
        <f t="shared" si="1"/>
        <v/>
      </c>
      <c r="C73" s="49" t="str">
        <f t="shared" si="9"/>
        <v/>
      </c>
      <c r="D73" s="49"/>
      <c r="E73" s="56" t="str">
        <f t="shared" si="20"/>
        <v/>
      </c>
      <c r="F73" s="56" t="str">
        <f t="shared" si="10"/>
        <v/>
      </c>
      <c r="G73" s="56" t="str">
        <f t="shared" si="3"/>
        <v/>
      </c>
      <c r="H73" s="65" t="str">
        <f t="shared" si="4"/>
        <v/>
      </c>
      <c r="I73" s="65" t="str">
        <f t="shared" si="5"/>
        <v/>
      </c>
      <c r="J73" s="59" t="str">
        <f t="shared" si="6"/>
        <v/>
      </c>
      <c r="K73" s="3"/>
      <c r="L73" s="14" t="str">
        <f t="shared" si="7"/>
        <v/>
      </c>
      <c r="M73" s="23" t="str">
        <f t="shared" si="19"/>
        <v/>
      </c>
      <c r="N73" s="14" t="str">
        <f t="shared" si="11"/>
        <v/>
      </c>
      <c r="O73" s="14" t="str">
        <f t="shared" si="12"/>
        <v/>
      </c>
      <c r="P73" s="46" t="str">
        <f t="shared" si="13"/>
        <v/>
      </c>
      <c r="Q73" s="46" t="str">
        <f t="shared" si="14"/>
        <v/>
      </c>
      <c r="R73" s="12" t="str">
        <f t="shared" si="18"/>
        <v/>
      </c>
      <c r="S73" s="46" t="str">
        <f t="shared" si="15"/>
        <v/>
      </c>
      <c r="T73" s="46" t="str">
        <f t="shared" si="16"/>
        <v/>
      </c>
      <c r="U73" s="19" t="str">
        <f t="shared" si="17"/>
        <v/>
      </c>
    </row>
    <row r="74" spans="2:21" x14ac:dyDescent="0.3">
      <c r="B74" s="22" t="str">
        <f t="shared" si="1"/>
        <v/>
      </c>
      <c r="C74" s="49" t="str">
        <f t="shared" si="9"/>
        <v/>
      </c>
      <c r="D74" s="49"/>
      <c r="E74" s="56" t="str">
        <f t="shared" si="20"/>
        <v/>
      </c>
      <c r="F74" s="56" t="str">
        <f t="shared" si="10"/>
        <v/>
      </c>
      <c r="G74" s="56" t="str">
        <f t="shared" si="3"/>
        <v/>
      </c>
      <c r="H74" s="65" t="str">
        <f t="shared" si="4"/>
        <v/>
      </c>
      <c r="I74" s="65" t="str">
        <f t="shared" si="5"/>
        <v/>
      </c>
      <c r="J74" s="59" t="str">
        <f t="shared" si="6"/>
        <v/>
      </c>
      <c r="K74" s="3"/>
      <c r="L74" s="14" t="str">
        <f t="shared" si="7"/>
        <v/>
      </c>
      <c r="M74" s="23" t="str">
        <f t="shared" si="19"/>
        <v/>
      </c>
      <c r="N74" s="14" t="str">
        <f t="shared" si="11"/>
        <v/>
      </c>
      <c r="O74" s="14" t="str">
        <f t="shared" si="12"/>
        <v/>
      </c>
      <c r="P74" s="46" t="str">
        <f t="shared" si="13"/>
        <v/>
      </c>
      <c r="Q74" s="46" t="str">
        <f t="shared" si="14"/>
        <v/>
      </c>
      <c r="R74" s="12" t="str">
        <f t="shared" si="18"/>
        <v/>
      </c>
      <c r="S74" s="46" t="str">
        <f t="shared" si="15"/>
        <v/>
      </c>
      <c r="T74" s="46" t="str">
        <f t="shared" si="16"/>
        <v/>
      </c>
      <c r="U74" s="19" t="str">
        <f t="shared" si="17"/>
        <v/>
      </c>
    </row>
    <row r="75" spans="2:21" x14ac:dyDescent="0.3">
      <c r="B75" s="22" t="str">
        <f t="shared" si="1"/>
        <v/>
      </c>
      <c r="C75" s="49" t="str">
        <f t="shared" si="9"/>
        <v/>
      </c>
      <c r="D75" s="49"/>
      <c r="E75" s="56" t="str">
        <f t="shared" si="20"/>
        <v/>
      </c>
      <c r="F75" s="56" t="str">
        <f t="shared" si="10"/>
        <v/>
      </c>
      <c r="G75" s="56" t="str">
        <f t="shared" si="3"/>
        <v/>
      </c>
      <c r="H75" s="65" t="str">
        <f t="shared" si="4"/>
        <v/>
      </c>
      <c r="I75" s="65" t="str">
        <f t="shared" si="5"/>
        <v/>
      </c>
      <c r="J75" s="59" t="str">
        <f t="shared" si="6"/>
        <v/>
      </c>
      <c r="K75" s="3"/>
      <c r="L75" s="14" t="str">
        <f t="shared" si="7"/>
        <v/>
      </c>
      <c r="M75" s="23" t="str">
        <f t="shared" si="19"/>
        <v/>
      </c>
      <c r="N75" s="14" t="str">
        <f t="shared" si="11"/>
        <v/>
      </c>
      <c r="O75" s="14" t="str">
        <f t="shared" si="12"/>
        <v/>
      </c>
      <c r="P75" s="46" t="str">
        <f t="shared" si="13"/>
        <v/>
      </c>
      <c r="Q75" s="46" t="str">
        <f t="shared" si="14"/>
        <v/>
      </c>
      <c r="R75" s="12" t="str">
        <f t="shared" si="18"/>
        <v/>
      </c>
      <c r="S75" s="46" t="str">
        <f t="shared" si="15"/>
        <v/>
      </c>
      <c r="T75" s="46" t="str">
        <f t="shared" si="16"/>
        <v/>
      </c>
      <c r="U75" s="19" t="str">
        <f t="shared" si="17"/>
        <v/>
      </c>
    </row>
    <row r="76" spans="2:21" x14ac:dyDescent="0.3">
      <c r="B76" s="22" t="str">
        <f t="shared" si="1"/>
        <v/>
      </c>
      <c r="C76" s="49" t="str">
        <f t="shared" si="9"/>
        <v/>
      </c>
      <c r="D76" s="49"/>
      <c r="E76" s="56" t="str">
        <f t="shared" si="20"/>
        <v/>
      </c>
      <c r="F76" s="56" t="str">
        <f t="shared" si="10"/>
        <v/>
      </c>
      <c r="G76" s="56" t="str">
        <f t="shared" si="3"/>
        <v/>
      </c>
      <c r="H76" s="65" t="str">
        <f t="shared" si="4"/>
        <v/>
      </c>
      <c r="I76" s="65" t="str">
        <f t="shared" si="5"/>
        <v/>
      </c>
      <c r="J76" s="59" t="str">
        <f t="shared" si="6"/>
        <v/>
      </c>
      <c r="K76" s="3"/>
      <c r="L76" s="14" t="str">
        <f t="shared" si="7"/>
        <v/>
      </c>
      <c r="M76" s="23" t="str">
        <f t="shared" si="19"/>
        <v/>
      </c>
      <c r="N76" s="14" t="str">
        <f t="shared" si="11"/>
        <v/>
      </c>
      <c r="O76" s="14" t="str">
        <f t="shared" si="12"/>
        <v/>
      </c>
      <c r="P76" s="46" t="str">
        <f t="shared" si="13"/>
        <v/>
      </c>
      <c r="Q76" s="46" t="str">
        <f t="shared" si="14"/>
        <v/>
      </c>
      <c r="R76" s="12" t="str">
        <f t="shared" si="18"/>
        <v/>
      </c>
      <c r="S76" s="46" t="str">
        <f t="shared" si="15"/>
        <v/>
      </c>
      <c r="T76" s="46" t="str">
        <f t="shared" si="16"/>
        <v/>
      </c>
      <c r="U76" s="19" t="str">
        <f t="shared" si="17"/>
        <v/>
      </c>
    </row>
    <row r="77" spans="2:21" x14ac:dyDescent="0.3">
      <c r="B77" s="22" t="str">
        <f t="shared" si="1"/>
        <v/>
      </c>
      <c r="C77" s="49" t="str">
        <f t="shared" si="9"/>
        <v/>
      </c>
      <c r="D77" s="49"/>
      <c r="E77" s="56" t="str">
        <f t="shared" si="20"/>
        <v/>
      </c>
      <c r="F77" s="56" t="str">
        <f t="shared" si="10"/>
        <v/>
      </c>
      <c r="G77" s="56" t="str">
        <f t="shared" si="3"/>
        <v/>
      </c>
      <c r="H77" s="65" t="str">
        <f t="shared" si="4"/>
        <v/>
      </c>
      <c r="I77" s="65" t="str">
        <f t="shared" si="5"/>
        <v/>
      </c>
      <c r="J77" s="59" t="str">
        <f t="shared" si="6"/>
        <v/>
      </c>
      <c r="K77" s="3"/>
      <c r="L77" s="14" t="str">
        <f t="shared" si="7"/>
        <v/>
      </c>
      <c r="M77" s="23" t="str">
        <f t="shared" si="19"/>
        <v/>
      </c>
      <c r="N77" s="14" t="str">
        <f t="shared" si="11"/>
        <v/>
      </c>
      <c r="O77" s="14" t="str">
        <f t="shared" si="12"/>
        <v/>
      </c>
      <c r="P77" s="46" t="str">
        <f t="shared" si="13"/>
        <v/>
      </c>
      <c r="Q77" s="46" t="str">
        <f t="shared" si="14"/>
        <v/>
      </c>
      <c r="R77" s="12" t="str">
        <f t="shared" si="18"/>
        <v/>
      </c>
      <c r="S77" s="46" t="str">
        <f t="shared" si="15"/>
        <v/>
      </c>
      <c r="T77" s="46" t="str">
        <f t="shared" si="16"/>
        <v/>
      </c>
      <c r="U77" s="19" t="str">
        <f t="shared" si="17"/>
        <v/>
      </c>
    </row>
    <row r="78" spans="2:21" x14ac:dyDescent="0.3">
      <c r="B78" s="22" t="str">
        <f t="shared" si="1"/>
        <v/>
      </c>
      <c r="C78" s="49" t="str">
        <f t="shared" si="9"/>
        <v/>
      </c>
      <c r="D78" s="49"/>
      <c r="E78" s="56" t="str">
        <f t="shared" si="20"/>
        <v/>
      </c>
      <c r="F78" s="56" t="str">
        <f t="shared" si="10"/>
        <v/>
      </c>
      <c r="G78" s="56" t="str">
        <f t="shared" si="3"/>
        <v/>
      </c>
      <c r="H78" s="65" t="str">
        <f t="shared" si="4"/>
        <v/>
      </c>
      <c r="I78" s="65" t="str">
        <f t="shared" si="5"/>
        <v/>
      </c>
      <c r="J78" s="59" t="str">
        <f t="shared" si="6"/>
        <v/>
      </c>
      <c r="K78" s="3"/>
      <c r="L78" s="14" t="str">
        <f t="shared" si="7"/>
        <v/>
      </c>
      <c r="M78" s="23" t="str">
        <f t="shared" si="19"/>
        <v/>
      </c>
      <c r="N78" s="14" t="str">
        <f t="shared" si="11"/>
        <v/>
      </c>
      <c r="O78" s="14" t="str">
        <f t="shared" si="12"/>
        <v/>
      </c>
      <c r="P78" s="46" t="str">
        <f t="shared" si="13"/>
        <v/>
      </c>
      <c r="Q78" s="46" t="str">
        <f t="shared" si="14"/>
        <v/>
      </c>
      <c r="R78" s="12" t="str">
        <f t="shared" si="18"/>
        <v/>
      </c>
      <c r="S78" s="46" t="str">
        <f t="shared" si="15"/>
        <v/>
      </c>
      <c r="T78" s="46" t="str">
        <f t="shared" si="16"/>
        <v/>
      </c>
      <c r="U78" s="19" t="str">
        <f t="shared" si="17"/>
        <v/>
      </c>
    </row>
    <row r="79" spans="2:21" x14ac:dyDescent="0.3">
      <c r="B79" s="22" t="str">
        <f t="shared" si="1"/>
        <v/>
      </c>
      <c r="C79" s="49" t="str">
        <f t="shared" si="9"/>
        <v/>
      </c>
      <c r="D79" s="49"/>
      <c r="E79" s="56" t="str">
        <f t="shared" si="20"/>
        <v/>
      </c>
      <c r="F79" s="56" t="str">
        <f t="shared" si="10"/>
        <v/>
      </c>
      <c r="G79" s="56" t="str">
        <f t="shared" si="3"/>
        <v/>
      </c>
      <c r="H79" s="65" t="str">
        <f t="shared" si="4"/>
        <v/>
      </c>
      <c r="I79" s="65" t="str">
        <f t="shared" si="5"/>
        <v/>
      </c>
      <c r="J79" s="59" t="str">
        <f t="shared" si="6"/>
        <v/>
      </c>
      <c r="K79" s="3"/>
      <c r="L79" s="14" t="str">
        <f t="shared" si="7"/>
        <v/>
      </c>
      <c r="M79" s="23" t="str">
        <f t="shared" si="19"/>
        <v/>
      </c>
      <c r="N79" s="14" t="str">
        <f t="shared" si="11"/>
        <v/>
      </c>
      <c r="O79" s="14" t="str">
        <f t="shared" si="12"/>
        <v/>
      </c>
      <c r="P79" s="46" t="str">
        <f t="shared" si="13"/>
        <v/>
      </c>
      <c r="Q79" s="46" t="str">
        <f t="shared" si="14"/>
        <v/>
      </c>
      <c r="R79" s="12" t="str">
        <f t="shared" si="18"/>
        <v/>
      </c>
      <c r="S79" s="46" t="str">
        <f t="shared" si="15"/>
        <v/>
      </c>
      <c r="T79" s="46" t="str">
        <f t="shared" si="16"/>
        <v/>
      </c>
      <c r="U79" s="19" t="str">
        <f t="shared" si="17"/>
        <v/>
      </c>
    </row>
    <row r="80" spans="2:21" x14ac:dyDescent="0.3">
      <c r="B80" s="22" t="str">
        <f t="shared" si="1"/>
        <v/>
      </c>
      <c r="C80" s="49" t="str">
        <f t="shared" si="9"/>
        <v/>
      </c>
      <c r="D80" s="49"/>
      <c r="E80" s="56" t="str">
        <f>IF($C80="","",G79*D$11)</f>
        <v/>
      </c>
      <c r="F80" s="56" t="str">
        <f t="shared" si="10"/>
        <v/>
      </c>
      <c r="G80" s="56" t="str">
        <f t="shared" si="3"/>
        <v/>
      </c>
      <c r="H80" s="65" t="str">
        <f t="shared" si="4"/>
        <v/>
      </c>
      <c r="I80" s="65" t="str">
        <f t="shared" si="5"/>
        <v/>
      </c>
      <c r="J80" s="59" t="str">
        <f t="shared" si="6"/>
        <v/>
      </c>
      <c r="K80" s="3"/>
      <c r="L80" s="14" t="str">
        <f t="shared" si="7"/>
        <v/>
      </c>
      <c r="M80" s="23" t="str">
        <f t="shared" si="19"/>
        <v/>
      </c>
      <c r="N80" s="14" t="str">
        <f t="shared" si="11"/>
        <v/>
      </c>
      <c r="O80" s="14" t="str">
        <f t="shared" si="12"/>
        <v/>
      </c>
      <c r="P80" s="46" t="str">
        <f t="shared" si="13"/>
        <v/>
      </c>
      <c r="Q80" s="46" t="str">
        <f t="shared" si="14"/>
        <v/>
      </c>
      <c r="R80" s="12" t="str">
        <f t="shared" si="18"/>
        <v/>
      </c>
      <c r="S80" s="46" t="str">
        <f t="shared" si="15"/>
        <v/>
      </c>
      <c r="T80" s="46" t="str">
        <f t="shared" si="16"/>
        <v/>
      </c>
      <c r="U80" s="19" t="str">
        <f t="shared" si="17"/>
        <v/>
      </c>
    </row>
    <row r="81" spans="2:21" x14ac:dyDescent="0.3">
      <c r="B81" s="22" t="str">
        <f t="shared" si="1"/>
        <v/>
      </c>
      <c r="C81" s="49" t="str">
        <f t="shared" si="9"/>
        <v/>
      </c>
      <c r="D81" s="49"/>
      <c r="E81" s="56" t="str">
        <f>IF($C81="","",G80*D$11)</f>
        <v/>
      </c>
      <c r="F81" s="56" t="str">
        <f t="shared" si="10"/>
        <v/>
      </c>
      <c r="G81" s="56" t="str">
        <f t="shared" si="3"/>
        <v/>
      </c>
      <c r="H81" s="65" t="str">
        <f t="shared" si="4"/>
        <v/>
      </c>
      <c r="I81" s="65" t="str">
        <f t="shared" si="5"/>
        <v/>
      </c>
      <c r="J81" s="59" t="str">
        <f t="shared" si="6"/>
        <v/>
      </c>
      <c r="K81" s="3"/>
      <c r="L81" s="14" t="str">
        <f t="shared" si="7"/>
        <v/>
      </c>
      <c r="M81" s="23" t="str">
        <f t="shared" si="19"/>
        <v/>
      </c>
      <c r="N81" s="14" t="str">
        <f t="shared" si="11"/>
        <v/>
      </c>
      <c r="O81" s="14" t="str">
        <f t="shared" si="12"/>
        <v/>
      </c>
      <c r="P81" s="46" t="str">
        <f t="shared" si="13"/>
        <v/>
      </c>
      <c r="Q81" s="46" t="str">
        <f t="shared" si="14"/>
        <v/>
      </c>
      <c r="R81" s="12" t="str">
        <f t="shared" si="18"/>
        <v/>
      </c>
      <c r="S81" s="46" t="str">
        <f t="shared" si="15"/>
        <v/>
      </c>
      <c r="T81" s="46" t="str">
        <f t="shared" si="16"/>
        <v/>
      </c>
      <c r="U81" s="19" t="str">
        <f t="shared" si="17"/>
        <v/>
      </c>
    </row>
    <row r="82" spans="2:21" x14ac:dyDescent="0.3">
      <c r="B82" s="22" t="str">
        <f t="shared" si="1"/>
        <v/>
      </c>
      <c r="C82" s="49" t="str">
        <f t="shared" si="9"/>
        <v/>
      </c>
      <c r="D82" s="49"/>
      <c r="E82" s="56" t="str">
        <f>IF($C82="","",G81*D$11)</f>
        <v/>
      </c>
      <c r="F82" s="56" t="str">
        <f t="shared" si="10"/>
        <v/>
      </c>
      <c r="G82" s="56" t="str">
        <f t="shared" si="3"/>
        <v/>
      </c>
      <c r="H82" s="65" t="str">
        <f t="shared" si="4"/>
        <v/>
      </c>
      <c r="I82" s="65" t="str">
        <f t="shared" si="5"/>
        <v/>
      </c>
      <c r="J82" s="59" t="str">
        <f t="shared" si="6"/>
        <v/>
      </c>
      <c r="K82" s="3"/>
      <c r="L82" s="14" t="str">
        <f t="shared" si="7"/>
        <v/>
      </c>
      <c r="M82" s="23" t="str">
        <f t="shared" si="19"/>
        <v/>
      </c>
      <c r="N82" s="14" t="str">
        <f t="shared" si="11"/>
        <v/>
      </c>
      <c r="O82" s="14" t="str">
        <f t="shared" si="12"/>
        <v/>
      </c>
      <c r="P82" s="46" t="str">
        <f t="shared" si="13"/>
        <v/>
      </c>
      <c r="Q82" s="46" t="str">
        <f t="shared" si="14"/>
        <v/>
      </c>
      <c r="R82" s="12" t="str">
        <f t="shared" si="18"/>
        <v/>
      </c>
      <c r="S82" s="46" t="str">
        <f t="shared" si="15"/>
        <v/>
      </c>
      <c r="T82" s="46" t="str">
        <f t="shared" si="16"/>
        <v/>
      </c>
      <c r="U82" s="19" t="str">
        <f t="shared" si="17"/>
        <v/>
      </c>
    </row>
    <row r="83" spans="2:21" x14ac:dyDescent="0.3">
      <c r="B83" s="22" t="str">
        <f t="shared" si="1"/>
        <v/>
      </c>
      <c r="C83" s="49" t="str">
        <f t="shared" si="9"/>
        <v/>
      </c>
      <c r="D83" s="49"/>
      <c r="E83" s="56" t="str">
        <f>IF($C83="","",G82*D$11)</f>
        <v/>
      </c>
      <c r="F83" s="56" t="str">
        <f t="shared" si="10"/>
        <v/>
      </c>
      <c r="G83" s="56" t="str">
        <f t="shared" si="3"/>
        <v/>
      </c>
      <c r="H83" s="65" t="str">
        <f t="shared" si="4"/>
        <v/>
      </c>
      <c r="I83" s="65" t="str">
        <f t="shared" si="5"/>
        <v/>
      </c>
      <c r="J83" s="59" t="str">
        <f t="shared" si="6"/>
        <v/>
      </c>
      <c r="K83" s="3"/>
      <c r="L83" s="14" t="str">
        <f t="shared" si="7"/>
        <v/>
      </c>
      <c r="M83" s="23" t="str">
        <f>IF($C83="","",M82*(1+D$21))</f>
        <v/>
      </c>
      <c r="N83" s="14" t="str">
        <f t="shared" si="11"/>
        <v/>
      </c>
      <c r="O83" s="14" t="str">
        <f t="shared" si="12"/>
        <v/>
      </c>
      <c r="P83" s="46" t="str">
        <f t="shared" si="13"/>
        <v/>
      </c>
      <c r="Q83" s="46" t="str">
        <f t="shared" si="14"/>
        <v/>
      </c>
      <c r="R83" s="12" t="str">
        <f t="shared" si="18"/>
        <v/>
      </c>
      <c r="S83" s="46" t="str">
        <f t="shared" si="15"/>
        <v/>
      </c>
      <c r="T83" s="46" t="str">
        <f t="shared" si="16"/>
        <v/>
      </c>
      <c r="U83" s="19" t="str">
        <f t="shared" si="17"/>
        <v/>
      </c>
    </row>
    <row r="84" spans="2:21" x14ac:dyDescent="0.3">
      <c r="B84" s="22" t="str">
        <f t="shared" si="1"/>
        <v/>
      </c>
      <c r="C84" s="49" t="str">
        <f t="shared" si="9"/>
        <v/>
      </c>
      <c r="D84" s="48"/>
      <c r="E84" s="56" t="str">
        <f t="shared" ref="E84:E93" si="21">IF($C84="","",G83*D$11)</f>
        <v/>
      </c>
      <c r="F84" s="56" t="str">
        <f t="shared" si="10"/>
        <v/>
      </c>
      <c r="G84" s="56" t="str">
        <f t="shared" si="3"/>
        <v/>
      </c>
      <c r="H84" s="65" t="str">
        <f t="shared" si="4"/>
        <v/>
      </c>
      <c r="I84" s="65" t="str">
        <f t="shared" si="5"/>
        <v/>
      </c>
      <c r="J84" s="59" t="str">
        <f t="shared" si="6"/>
        <v/>
      </c>
      <c r="K84" s="24"/>
      <c r="L84" s="14" t="str">
        <f t="shared" si="7"/>
        <v/>
      </c>
      <c r="M84" s="23" t="str">
        <f>IF($C84="","",M83*(1+D$21))</f>
        <v/>
      </c>
      <c r="N84" s="14" t="str">
        <f t="shared" si="11"/>
        <v/>
      </c>
      <c r="O84" s="14" t="str">
        <f t="shared" si="12"/>
        <v/>
      </c>
      <c r="P84" s="46" t="str">
        <f t="shared" si="13"/>
        <v/>
      </c>
      <c r="Q84" s="46" t="str">
        <f t="shared" si="14"/>
        <v/>
      </c>
      <c r="R84" s="12" t="str">
        <f t="shared" si="18"/>
        <v/>
      </c>
      <c r="S84" s="46" t="str">
        <f t="shared" si="15"/>
        <v/>
      </c>
      <c r="T84" s="46" t="str">
        <f t="shared" si="16"/>
        <v/>
      </c>
      <c r="U84" s="19" t="str">
        <f t="shared" si="17"/>
        <v/>
      </c>
    </row>
    <row r="85" spans="2:21" x14ac:dyDescent="0.3">
      <c r="B85" s="22" t="str">
        <f t="shared" si="1"/>
        <v/>
      </c>
      <c r="C85" s="49" t="str">
        <f t="shared" si="9"/>
        <v/>
      </c>
      <c r="D85" s="49"/>
      <c r="E85" s="56" t="str">
        <f t="shared" si="21"/>
        <v/>
      </c>
      <c r="F85" s="56" t="str">
        <f t="shared" si="10"/>
        <v/>
      </c>
      <c r="G85" s="56" t="str">
        <f t="shared" si="3"/>
        <v/>
      </c>
      <c r="H85" s="65" t="str">
        <f t="shared" si="4"/>
        <v/>
      </c>
      <c r="I85" s="65" t="str">
        <f t="shared" si="5"/>
        <v/>
      </c>
      <c r="J85" s="59" t="str">
        <f t="shared" si="6"/>
        <v/>
      </c>
      <c r="K85" s="3"/>
      <c r="L85" s="14" t="str">
        <f t="shared" si="7"/>
        <v/>
      </c>
      <c r="M85" s="23" t="str">
        <f t="shared" ref="M85:M93" si="22">IF($C85="","",M84*(1+D$21))</f>
        <v/>
      </c>
      <c r="N85" s="14" t="str">
        <f t="shared" si="11"/>
        <v/>
      </c>
      <c r="O85" s="14" t="str">
        <f t="shared" si="12"/>
        <v/>
      </c>
      <c r="P85" s="46" t="str">
        <f t="shared" si="13"/>
        <v/>
      </c>
      <c r="Q85" s="46" t="str">
        <f t="shared" si="14"/>
        <v/>
      </c>
      <c r="R85" s="12" t="str">
        <f t="shared" si="18"/>
        <v/>
      </c>
      <c r="S85" s="46" t="str">
        <f t="shared" si="15"/>
        <v/>
      </c>
      <c r="T85" s="46" t="str">
        <f t="shared" si="16"/>
        <v/>
      </c>
      <c r="U85" s="19" t="str">
        <f t="shared" si="17"/>
        <v/>
      </c>
    </row>
    <row r="86" spans="2:21" x14ac:dyDescent="0.3">
      <c r="B86" s="22" t="str">
        <f t="shared" si="1"/>
        <v/>
      </c>
      <c r="C86" s="49" t="str">
        <f t="shared" si="9"/>
        <v/>
      </c>
      <c r="D86" s="49"/>
      <c r="E86" s="56" t="str">
        <f t="shared" si="21"/>
        <v/>
      </c>
      <c r="F86" s="56" t="str">
        <f t="shared" si="10"/>
        <v/>
      </c>
      <c r="G86" s="56" t="str">
        <f t="shared" si="3"/>
        <v/>
      </c>
      <c r="H86" s="65" t="str">
        <f t="shared" si="4"/>
        <v/>
      </c>
      <c r="I86" s="65" t="str">
        <f t="shared" si="5"/>
        <v/>
      </c>
      <c r="J86" s="59" t="str">
        <f t="shared" si="6"/>
        <v/>
      </c>
      <c r="K86" s="3"/>
      <c r="L86" s="14" t="str">
        <f>IF($C86="","",$L85*(1+$D$22))</f>
        <v/>
      </c>
      <c r="M86" s="23" t="str">
        <f t="shared" si="22"/>
        <v/>
      </c>
      <c r="N86" s="14" t="str">
        <f t="shared" si="11"/>
        <v/>
      </c>
      <c r="O86" s="14" t="str">
        <f t="shared" si="12"/>
        <v/>
      </c>
      <c r="P86" s="46" t="str">
        <f t="shared" si="13"/>
        <v/>
      </c>
      <c r="Q86" s="46" t="str">
        <f t="shared" si="14"/>
        <v/>
      </c>
      <c r="R86" s="12" t="str">
        <f>IF($C86="","",1/(1+D$17)^(C86))</f>
        <v/>
      </c>
      <c r="S86" s="46" t="str">
        <f t="shared" si="15"/>
        <v/>
      </c>
      <c r="T86" s="46" t="str">
        <f>IF($C86="","",T85+S86)</f>
        <v/>
      </c>
      <c r="U86" s="19" t="str">
        <f t="shared" si="17"/>
        <v/>
      </c>
    </row>
    <row r="87" spans="2:21" x14ac:dyDescent="0.3">
      <c r="B87" s="22" t="str">
        <f t="shared" si="1"/>
        <v/>
      </c>
      <c r="C87" s="49" t="str">
        <f t="shared" si="9"/>
        <v/>
      </c>
      <c r="D87" s="49"/>
      <c r="E87" s="56" t="str">
        <f t="shared" si="21"/>
        <v/>
      </c>
      <c r="F87" s="56" t="str">
        <f t="shared" si="10"/>
        <v/>
      </c>
      <c r="G87" s="56" t="str">
        <f t="shared" si="3"/>
        <v/>
      </c>
      <c r="H87" s="65" t="str">
        <f t="shared" si="4"/>
        <v/>
      </c>
      <c r="I87" s="65" t="str">
        <f t="shared" si="5"/>
        <v/>
      </c>
      <c r="J87" s="59" t="str">
        <f t="shared" si="6"/>
        <v/>
      </c>
      <c r="K87" s="3"/>
      <c r="L87" s="14" t="str">
        <f>IF($C87="","",$L86*(1+$D$22))</f>
        <v/>
      </c>
      <c r="M87" s="23" t="str">
        <f t="shared" si="22"/>
        <v/>
      </c>
      <c r="N87" s="14" t="str">
        <f>IF($C87="","",D$19*M87+I87)</f>
        <v/>
      </c>
      <c r="O87" s="14" t="str">
        <f t="shared" si="12"/>
        <v/>
      </c>
      <c r="P87" s="46" t="str">
        <f t="shared" si="13"/>
        <v/>
      </c>
      <c r="Q87" s="46" t="str">
        <f t="shared" si="14"/>
        <v/>
      </c>
      <c r="R87" s="12" t="str">
        <f>IF($C87="","",1/(1+D$17)^(C87))</f>
        <v/>
      </c>
      <c r="S87" s="46" t="str">
        <f>IF($C87="","",(P87-O87)*R87)</f>
        <v/>
      </c>
      <c r="T87" s="46" t="str">
        <f>IF($C87="","",T86+S87)</f>
        <v/>
      </c>
      <c r="U87" s="19" t="str">
        <f t="shared" si="17"/>
        <v/>
      </c>
    </row>
    <row r="88" spans="2:21" x14ac:dyDescent="0.3">
      <c r="B88" s="22" t="str">
        <f t="shared" si="1"/>
        <v/>
      </c>
      <c r="C88" s="49" t="str">
        <f t="shared" si="9"/>
        <v/>
      </c>
      <c r="D88" s="49"/>
      <c r="E88" s="56" t="str">
        <f t="shared" si="21"/>
        <v/>
      </c>
      <c r="F88" s="56" t="str">
        <f t="shared" si="10"/>
        <v/>
      </c>
      <c r="G88" s="56" t="str">
        <f t="shared" si="3"/>
        <v/>
      </c>
      <c r="H88" s="65" t="str">
        <f t="shared" si="4"/>
        <v/>
      </c>
      <c r="I88" s="65" t="str">
        <f t="shared" si="5"/>
        <v/>
      </c>
      <c r="J88" s="59" t="str">
        <f t="shared" si="6"/>
        <v/>
      </c>
      <c r="K88" s="3"/>
      <c r="L88" s="14" t="str">
        <f t="shared" ref="L88:L93" si="23">IF($C88="","",$L87*(1+$D$22))</f>
        <v/>
      </c>
      <c r="M88" s="23" t="str">
        <f t="shared" si="22"/>
        <v/>
      </c>
      <c r="N88" s="14" t="str">
        <f>IF($C88="","",D$19*M88+I88)</f>
        <v/>
      </c>
      <c r="O88" s="14" t="str">
        <f>IF($C88="","",E88+F88+L88)</f>
        <v/>
      </c>
      <c r="P88" s="46" t="str">
        <f>IF($C88="","",N88-L88-F88)</f>
        <v/>
      </c>
      <c r="Q88" s="46" t="str">
        <f t="shared" si="14"/>
        <v/>
      </c>
      <c r="R88" s="12" t="str">
        <f>IF($C88="","",1/(1+D$17)^(C88))</f>
        <v/>
      </c>
      <c r="S88" s="46" t="str">
        <f>IF($C88="","",(P88-O88)*R88)</f>
        <v/>
      </c>
      <c r="T88" s="46" t="str">
        <f>IF($C88="","",T87+S88)</f>
        <v/>
      </c>
      <c r="U88" s="19" t="str">
        <f t="shared" si="17"/>
        <v/>
      </c>
    </row>
    <row r="89" spans="2:21" x14ac:dyDescent="0.3">
      <c r="B89" s="22" t="str">
        <f t="shared" si="1"/>
        <v/>
      </c>
      <c r="C89" s="49" t="str">
        <f t="shared" si="9"/>
        <v/>
      </c>
      <c r="D89" s="49"/>
      <c r="E89" s="56" t="str">
        <f t="shared" si="21"/>
        <v/>
      </c>
      <c r="F89" s="56" t="str">
        <f t="shared" si="10"/>
        <v/>
      </c>
      <c r="G89" s="56" t="str">
        <f t="shared" si="3"/>
        <v/>
      </c>
      <c r="H89" s="65" t="str">
        <f t="shared" si="4"/>
        <v/>
      </c>
      <c r="I89" s="65" t="str">
        <f t="shared" si="5"/>
        <v/>
      </c>
      <c r="J89" s="59" t="str">
        <f t="shared" si="6"/>
        <v/>
      </c>
      <c r="K89" s="3"/>
      <c r="L89" s="14" t="str">
        <f t="shared" si="23"/>
        <v/>
      </c>
      <c r="M89" s="23" t="str">
        <f t="shared" si="22"/>
        <v/>
      </c>
      <c r="N89" s="14" t="str">
        <f>IF($C89="","",D$19*M89+I89)</f>
        <v/>
      </c>
      <c r="O89" s="14" t="str">
        <f>IF($C89="","",E89+F89+L89)</f>
        <v/>
      </c>
      <c r="P89" s="46" t="str">
        <f>IF($C89="","",N89-L89-F89)</f>
        <v/>
      </c>
      <c r="Q89" s="46" t="str">
        <f t="shared" si="14"/>
        <v/>
      </c>
      <c r="R89" s="12" t="str">
        <f>IF($C89="","",1/(1+D$17)^(C89))</f>
        <v/>
      </c>
      <c r="S89" s="46" t="str">
        <f>IF($C89="","",(P89-O89)*R89)</f>
        <v/>
      </c>
      <c r="T89" s="46" t="str">
        <f t="shared" ref="T89:T93" si="24">IF($C89="","",T88+S89)</f>
        <v/>
      </c>
      <c r="U89" s="19" t="str">
        <f t="shared" si="17"/>
        <v/>
      </c>
    </row>
    <row r="90" spans="2:21" x14ac:dyDescent="0.3">
      <c r="B90" s="22" t="str">
        <f t="shared" si="1"/>
        <v/>
      </c>
      <c r="C90" s="49" t="str">
        <f t="shared" si="9"/>
        <v/>
      </c>
      <c r="D90" s="49"/>
      <c r="E90" s="56" t="str">
        <f t="shared" si="21"/>
        <v/>
      </c>
      <c r="F90" s="56" t="str">
        <f t="shared" si="10"/>
        <v/>
      </c>
      <c r="G90" s="56" t="str">
        <f t="shared" si="3"/>
        <v/>
      </c>
      <c r="H90" s="65" t="str">
        <f t="shared" si="4"/>
        <v/>
      </c>
      <c r="I90" s="65" t="str">
        <f t="shared" si="5"/>
        <v/>
      </c>
      <c r="J90" s="59" t="str">
        <f t="shared" si="6"/>
        <v/>
      </c>
      <c r="K90" s="3"/>
      <c r="L90" s="14" t="str">
        <f t="shared" si="23"/>
        <v/>
      </c>
      <c r="M90" s="23" t="str">
        <f t="shared" si="22"/>
        <v/>
      </c>
      <c r="N90" s="14" t="str">
        <f t="shared" ref="N90:N93" si="25">IF($C90="","",D$19*M90+I90)</f>
        <v/>
      </c>
      <c r="O90" s="14" t="str">
        <f>IF($C90="","",E90+F90+L90)</f>
        <v/>
      </c>
      <c r="P90" s="46" t="str">
        <f>IF($C90="","",N90-L90-F90)</f>
        <v/>
      </c>
      <c r="Q90" s="46" t="str">
        <f t="shared" si="14"/>
        <v/>
      </c>
      <c r="R90" s="12" t="str">
        <f t="shared" ref="R90:R93" si="26">IF($C90="","",1/(1+D$17)^(C90))</f>
        <v/>
      </c>
      <c r="S90" s="46" t="str">
        <f t="shared" ref="S90:S93" si="27">IF($C90="","",(P90-O90)*R90)</f>
        <v/>
      </c>
      <c r="T90" s="46" t="str">
        <f t="shared" si="24"/>
        <v/>
      </c>
      <c r="U90" s="19" t="str">
        <f>IF($C90="","",U89+S90)</f>
        <v/>
      </c>
    </row>
    <row r="91" spans="2:21" x14ac:dyDescent="0.3">
      <c r="B91" s="22" t="str">
        <f t="shared" si="1"/>
        <v/>
      </c>
      <c r="C91" s="49" t="str">
        <f t="shared" si="9"/>
        <v/>
      </c>
      <c r="D91" s="49"/>
      <c r="E91" s="56" t="str">
        <f t="shared" si="21"/>
        <v/>
      </c>
      <c r="F91" s="56" t="str">
        <f t="shared" si="10"/>
        <v/>
      </c>
      <c r="G91" s="56" t="str">
        <f t="shared" si="3"/>
        <v/>
      </c>
      <c r="H91" s="65" t="str">
        <f t="shared" si="4"/>
        <v/>
      </c>
      <c r="I91" s="65" t="str">
        <f t="shared" si="5"/>
        <v/>
      </c>
      <c r="J91" s="59" t="str">
        <f t="shared" si="6"/>
        <v/>
      </c>
      <c r="K91" s="3"/>
      <c r="L91" s="14" t="str">
        <f t="shared" si="23"/>
        <v/>
      </c>
      <c r="M91" s="23" t="str">
        <f t="shared" si="22"/>
        <v/>
      </c>
      <c r="N91" s="14" t="str">
        <f t="shared" si="25"/>
        <v/>
      </c>
      <c r="O91" s="14" t="str">
        <f t="shared" ref="O91:O93" si="28">IF($C91="","",E91+F91+L91)</f>
        <v/>
      </c>
      <c r="P91" s="46" t="str">
        <f t="shared" ref="P91:P93" si="29">IF($C91="","",N91-L91-F91)</f>
        <v/>
      </c>
      <c r="Q91" s="46" t="str">
        <f t="shared" si="14"/>
        <v/>
      </c>
      <c r="R91" s="12" t="str">
        <f t="shared" si="26"/>
        <v/>
      </c>
      <c r="S91" s="46" t="str">
        <f t="shared" si="27"/>
        <v/>
      </c>
      <c r="T91" s="46" t="str">
        <f t="shared" si="24"/>
        <v/>
      </c>
      <c r="U91" s="19" t="str">
        <f>IF($C91="","",U90+S91)</f>
        <v/>
      </c>
    </row>
    <row r="92" spans="2:21" x14ac:dyDescent="0.3">
      <c r="B92" s="22" t="str">
        <f t="shared" si="1"/>
        <v/>
      </c>
      <c r="C92" s="49" t="str">
        <f t="shared" si="9"/>
        <v/>
      </c>
      <c r="D92" s="49"/>
      <c r="E92" s="56" t="str">
        <f t="shared" si="21"/>
        <v/>
      </c>
      <c r="F92" s="56" t="str">
        <f t="shared" si="10"/>
        <v/>
      </c>
      <c r="G92" s="56" t="str">
        <f t="shared" si="3"/>
        <v/>
      </c>
      <c r="H92" s="65" t="str">
        <f t="shared" si="4"/>
        <v/>
      </c>
      <c r="I92" s="65" t="str">
        <f t="shared" si="5"/>
        <v/>
      </c>
      <c r="J92" s="59" t="str">
        <f t="shared" si="6"/>
        <v/>
      </c>
      <c r="K92" s="3"/>
      <c r="L92" s="14" t="str">
        <f t="shared" si="23"/>
        <v/>
      </c>
      <c r="M92" s="23" t="str">
        <f t="shared" si="22"/>
        <v/>
      </c>
      <c r="N92" s="14" t="str">
        <f t="shared" si="25"/>
        <v/>
      </c>
      <c r="O92" s="14" t="str">
        <f t="shared" si="28"/>
        <v/>
      </c>
      <c r="P92" s="46" t="str">
        <f t="shared" si="29"/>
        <v/>
      </c>
      <c r="Q92" s="46" t="str">
        <f>IF($C92="","",Q91+P92-O92)</f>
        <v/>
      </c>
      <c r="R92" s="12" t="str">
        <f t="shared" si="26"/>
        <v/>
      </c>
      <c r="S92" s="46" t="str">
        <f t="shared" si="27"/>
        <v/>
      </c>
      <c r="T92" s="46" t="str">
        <f t="shared" si="24"/>
        <v/>
      </c>
      <c r="U92" s="19" t="str">
        <f>IF($C92="","",U91+S92)</f>
        <v/>
      </c>
    </row>
    <row r="93" spans="2:21" x14ac:dyDescent="0.3">
      <c r="B93" s="22" t="str">
        <f t="shared" si="1"/>
        <v/>
      </c>
      <c r="C93" s="49" t="str">
        <f t="shared" si="9"/>
        <v/>
      </c>
      <c r="D93" s="49"/>
      <c r="E93" s="56" t="str">
        <f t="shared" si="21"/>
        <v/>
      </c>
      <c r="F93" s="56" t="str">
        <f t="shared" si="10"/>
        <v/>
      </c>
      <c r="G93" s="56" t="str">
        <f t="shared" si="3"/>
        <v/>
      </c>
      <c r="H93" s="65" t="str">
        <f t="shared" si="4"/>
        <v/>
      </c>
      <c r="I93" s="65" t="str">
        <f t="shared" si="5"/>
        <v/>
      </c>
      <c r="J93" s="59" t="str">
        <f t="shared" si="6"/>
        <v/>
      </c>
      <c r="K93" s="3"/>
      <c r="L93" s="14" t="str">
        <f t="shared" si="23"/>
        <v/>
      </c>
      <c r="M93" s="23" t="str">
        <f t="shared" si="22"/>
        <v/>
      </c>
      <c r="N93" s="14" t="str">
        <f t="shared" si="25"/>
        <v/>
      </c>
      <c r="O93" s="14" t="str">
        <f t="shared" si="28"/>
        <v/>
      </c>
      <c r="P93" s="46" t="str">
        <f t="shared" si="29"/>
        <v/>
      </c>
      <c r="Q93" s="46" t="str">
        <f>IF($C93="","",Q92+P93-O93)</f>
        <v/>
      </c>
      <c r="R93" s="12" t="str">
        <f t="shared" si="26"/>
        <v/>
      </c>
      <c r="S93" s="46" t="str">
        <f t="shared" si="27"/>
        <v/>
      </c>
      <c r="T93" s="46" t="str">
        <f t="shared" si="24"/>
        <v/>
      </c>
      <c r="U93" s="19" t="str">
        <f t="shared" ref="U93" si="30">IF($C93="","",U92+S93)</f>
        <v/>
      </c>
    </row>
  </sheetData>
  <mergeCells count="36">
    <mergeCell ref="E32:G32"/>
    <mergeCell ref="B36:U36"/>
    <mergeCell ref="B22:C22"/>
    <mergeCell ref="B24:C24"/>
    <mergeCell ref="B25:C25"/>
    <mergeCell ref="B26:C26"/>
    <mergeCell ref="B32:D32"/>
    <mergeCell ref="C29:D29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43:U43"/>
    <mergeCell ref="B31:U31"/>
    <mergeCell ref="H32:I32"/>
    <mergeCell ref="G6:H6"/>
    <mergeCell ref="B2:E2"/>
    <mergeCell ref="D3:E3"/>
    <mergeCell ref="B4:C4"/>
    <mergeCell ref="B5:C5"/>
    <mergeCell ref="B6:C6"/>
    <mergeCell ref="B7:C7"/>
    <mergeCell ref="G7:H7"/>
    <mergeCell ref="B8:C8"/>
    <mergeCell ref="G8:H8"/>
    <mergeCell ref="B9:C9"/>
    <mergeCell ref="D9:E9"/>
    <mergeCell ref="G9:H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68A13-CED1-4A6C-AA5F-743026468D00}">
  <dimension ref="A1:X93"/>
  <sheetViews>
    <sheetView topLeftCell="A84" zoomScale="38" zoomScaleNormal="80" workbookViewId="0">
      <selection activeCell="I6" sqref="I6"/>
    </sheetView>
  </sheetViews>
  <sheetFormatPr baseColWidth="10" defaultColWidth="8.6640625" defaultRowHeight="14.4" x14ac:dyDescent="0.3"/>
  <cols>
    <col min="1" max="15" width="20.6640625" customWidth="1"/>
    <col min="16" max="16" width="19.88671875" customWidth="1"/>
    <col min="17" max="19" width="20.6640625" customWidth="1"/>
    <col min="20" max="20" width="19.33203125" customWidth="1"/>
    <col min="21" max="21" width="12.109375" bestFit="1" customWidth="1"/>
    <col min="22" max="22" width="14.33203125" customWidth="1"/>
  </cols>
  <sheetData>
    <row r="1" spans="1:12" x14ac:dyDescent="0.3">
      <c r="A1" s="124" t="s">
        <v>8</v>
      </c>
      <c r="B1" s="125"/>
      <c r="C1" s="125"/>
      <c r="D1" s="126"/>
    </row>
    <row r="2" spans="1:12" x14ac:dyDescent="0.3">
      <c r="C2" s="109" t="s">
        <v>56</v>
      </c>
      <c r="D2" s="110"/>
      <c r="E2" s="28"/>
      <c r="F2" s="28"/>
    </row>
    <row r="3" spans="1:12" x14ac:dyDescent="0.3">
      <c r="A3" s="107"/>
      <c r="B3" s="107"/>
      <c r="C3" s="4" t="s">
        <v>0</v>
      </c>
      <c r="D3" s="4" t="s">
        <v>15</v>
      </c>
      <c r="E3" s="21"/>
    </row>
    <row r="4" spans="1:12" x14ac:dyDescent="0.3">
      <c r="A4" s="107" t="s">
        <v>14</v>
      </c>
      <c r="B4" s="107"/>
      <c r="C4" s="11">
        <v>10000</v>
      </c>
      <c r="D4" s="10">
        <v>45627</v>
      </c>
      <c r="E4" s="21"/>
    </row>
    <row r="5" spans="1:12" x14ac:dyDescent="0.3">
      <c r="A5" s="107" t="s">
        <v>16</v>
      </c>
      <c r="B5" s="107"/>
      <c r="C5" s="11">
        <v>30000</v>
      </c>
      <c r="D5" s="10">
        <v>45717</v>
      </c>
      <c r="E5" s="21"/>
      <c r="F5" s="109" t="s">
        <v>13</v>
      </c>
      <c r="G5" s="110"/>
      <c r="H5" s="28"/>
      <c r="I5" s="28"/>
      <c r="J5" s="28"/>
      <c r="K5" s="28"/>
    </row>
    <row r="6" spans="1:12" x14ac:dyDescent="0.3">
      <c r="A6" s="107" t="s">
        <v>17</v>
      </c>
      <c r="B6" s="107"/>
      <c r="C6" s="11">
        <v>30000</v>
      </c>
      <c r="D6" s="10">
        <v>45960</v>
      </c>
      <c r="E6" s="21"/>
      <c r="F6" s="108" t="s">
        <v>3</v>
      </c>
      <c r="G6" s="108"/>
      <c r="H6" s="102">
        <f>NPV(C16,K43:K63)-F33-C33</f>
        <v>91906.568173085281</v>
      </c>
      <c r="I6" s="71"/>
      <c r="J6" s="71"/>
      <c r="K6" s="71"/>
      <c r="L6" s="72" t="s">
        <v>33</v>
      </c>
    </row>
    <row r="7" spans="1:12" x14ac:dyDescent="0.3">
      <c r="A7" s="129" t="s">
        <v>18</v>
      </c>
      <c r="B7" s="129"/>
      <c r="C7" s="91">
        <v>10000</v>
      </c>
      <c r="D7" s="92">
        <v>46022</v>
      </c>
      <c r="F7" s="108" t="s">
        <v>25</v>
      </c>
      <c r="G7" s="108"/>
      <c r="H7" s="103">
        <f>(((L62-C33))/SUM(J43:J62))/C14</f>
        <v>0.41663478384734703</v>
      </c>
      <c r="I7" s="73"/>
      <c r="J7" s="73"/>
      <c r="K7" s="73"/>
    </row>
    <row r="8" spans="1:12" x14ac:dyDescent="0.3">
      <c r="A8" s="130"/>
      <c r="B8" s="130"/>
      <c r="C8" s="131"/>
      <c r="D8" s="131"/>
      <c r="F8" s="108" t="s">
        <v>31</v>
      </c>
      <c r="G8" s="108"/>
      <c r="H8" s="104" t="str" cm="1">
        <f t="array" ref="H8">_xlfn.IFNA(CONCATENATE("nach ",(INDEX(B43:B63,MATCH(1,(P43:P63&gt;0)*1,0)))," Jahren"),"NACH LAUFZEIT")</f>
        <v>nach 7 Jahren</v>
      </c>
      <c r="I8" s="74"/>
      <c r="J8" s="74"/>
      <c r="K8" s="74"/>
    </row>
    <row r="9" spans="1:12" x14ac:dyDescent="0.3">
      <c r="A9" s="116"/>
      <c r="B9" s="116"/>
      <c r="C9" s="45"/>
      <c r="D9" s="27"/>
    </row>
    <row r="10" spans="1:12" x14ac:dyDescent="0.3">
      <c r="A10" s="116"/>
      <c r="B10" s="116"/>
      <c r="C10" s="75"/>
      <c r="H10" s="34"/>
      <c r="I10" s="34"/>
      <c r="J10" s="34"/>
      <c r="K10" s="34"/>
    </row>
    <row r="11" spans="1:12" x14ac:dyDescent="0.3">
      <c r="A11" s="116"/>
      <c r="B11" s="116"/>
      <c r="C11" s="45"/>
    </row>
    <row r="12" spans="1:12" x14ac:dyDescent="0.3">
      <c r="A12" s="116"/>
      <c r="B12" s="116"/>
      <c r="C12" s="45"/>
    </row>
    <row r="13" spans="1:12" x14ac:dyDescent="0.3">
      <c r="A13" s="107" t="s">
        <v>74</v>
      </c>
      <c r="B13" s="107"/>
      <c r="C13" s="39">
        <v>45658</v>
      </c>
    </row>
    <row r="14" spans="1:12" x14ac:dyDescent="0.3">
      <c r="A14" s="107" t="s">
        <v>73</v>
      </c>
      <c r="B14" s="107"/>
      <c r="C14" s="8">
        <v>20</v>
      </c>
      <c r="L14" s="27"/>
    </row>
    <row r="15" spans="1:12" x14ac:dyDescent="0.3">
      <c r="A15" s="114" t="s">
        <v>19</v>
      </c>
      <c r="B15" s="115"/>
      <c r="C15" s="11">
        <v>1500</v>
      </c>
    </row>
    <row r="16" spans="1:12" x14ac:dyDescent="0.3">
      <c r="A16" s="107" t="s">
        <v>22</v>
      </c>
      <c r="B16" s="107"/>
      <c r="C16" s="33">
        <v>0.05</v>
      </c>
      <c r="H16" s="34"/>
      <c r="I16" s="34"/>
      <c r="J16" s="34"/>
      <c r="K16" s="34"/>
    </row>
    <row r="17" spans="1:24" x14ac:dyDescent="0.3">
      <c r="A17" s="107" t="s">
        <v>2</v>
      </c>
      <c r="B17" s="107"/>
      <c r="C17" s="8">
        <v>1750000</v>
      </c>
    </row>
    <row r="18" spans="1:24" x14ac:dyDescent="0.3">
      <c r="A18" s="107" t="s">
        <v>71</v>
      </c>
      <c r="B18" s="107"/>
      <c r="C18" s="8">
        <v>80000</v>
      </c>
    </row>
    <row r="19" spans="1:24" x14ac:dyDescent="0.3">
      <c r="A19" s="107" t="s">
        <v>7</v>
      </c>
      <c r="B19" s="107"/>
      <c r="C19" s="9">
        <v>0.2</v>
      </c>
      <c r="L19" s="34"/>
    </row>
    <row r="20" spans="1:24" x14ac:dyDescent="0.3">
      <c r="A20" s="107" t="s">
        <v>23</v>
      </c>
      <c r="B20" s="107"/>
      <c r="C20" s="33">
        <v>0.03</v>
      </c>
    </row>
    <row r="21" spans="1:24" x14ac:dyDescent="0.3">
      <c r="A21" s="107" t="s">
        <v>24</v>
      </c>
      <c r="B21" s="107"/>
      <c r="C21" s="33">
        <v>0.02</v>
      </c>
    </row>
    <row r="22" spans="1:24" x14ac:dyDescent="0.3">
      <c r="A22" s="25" t="s">
        <v>46</v>
      </c>
      <c r="B22" s="25"/>
      <c r="C22" s="60">
        <v>0.2</v>
      </c>
      <c r="D22" s="21"/>
      <c r="E22" s="21"/>
      <c r="F22" s="21"/>
      <c r="G22" s="21"/>
      <c r="H22" s="21"/>
      <c r="I22" s="21"/>
      <c r="J22" s="21"/>
      <c r="K22" s="21"/>
      <c r="L22" s="1"/>
      <c r="M22" s="20"/>
      <c r="N22" s="20"/>
      <c r="O22" s="20"/>
    </row>
    <row r="23" spans="1:24" x14ac:dyDescent="0.3">
      <c r="A23" s="121" t="s">
        <v>51</v>
      </c>
      <c r="B23" s="122"/>
      <c r="C23" s="62">
        <v>0.17499999999999999</v>
      </c>
      <c r="D23" s="21"/>
      <c r="E23" s="21"/>
      <c r="F23" s="21"/>
      <c r="G23" s="21"/>
      <c r="H23" s="21"/>
      <c r="I23" s="21"/>
      <c r="J23" s="21"/>
      <c r="K23" s="21"/>
      <c r="L23" s="1"/>
      <c r="M23" s="20"/>
      <c r="N23" s="20"/>
      <c r="O23" s="20"/>
    </row>
    <row r="24" spans="1:24" x14ac:dyDescent="0.3">
      <c r="A24" s="121" t="s">
        <v>52</v>
      </c>
      <c r="B24" s="122"/>
      <c r="C24" s="62">
        <v>0.15825</v>
      </c>
      <c r="D24" s="21"/>
      <c r="E24" s="21"/>
      <c r="F24" s="21"/>
      <c r="G24" s="21"/>
      <c r="H24" s="21"/>
      <c r="I24" s="21"/>
      <c r="J24" s="21"/>
      <c r="K24" s="21"/>
      <c r="L24" s="1"/>
      <c r="M24" s="20"/>
      <c r="N24" s="20"/>
      <c r="O24" s="20"/>
    </row>
    <row r="25" spans="1:24" x14ac:dyDescent="0.3">
      <c r="A25" s="114" t="s">
        <v>53</v>
      </c>
      <c r="B25" s="115"/>
      <c r="C25" s="61">
        <f>C23+C24</f>
        <v>0.33324999999999999</v>
      </c>
      <c r="D25" s="21"/>
      <c r="E25" s="21"/>
      <c r="F25" s="21"/>
      <c r="G25" s="21"/>
      <c r="H25" s="21"/>
      <c r="I25" s="21"/>
      <c r="J25" s="21"/>
      <c r="K25" s="21"/>
      <c r="L25" s="1"/>
      <c r="M25" s="20"/>
      <c r="N25" s="20"/>
      <c r="O25" s="20"/>
    </row>
    <row r="26" spans="1:24" s="40" customFormat="1" x14ac:dyDescent="0.3">
      <c r="A26" s="101" t="s">
        <v>26</v>
      </c>
      <c r="F26" s="42"/>
      <c r="H26" s="41"/>
      <c r="I26" s="42"/>
      <c r="J26" s="42"/>
      <c r="K26" s="42"/>
      <c r="L26" s="42"/>
      <c r="M26" s="42"/>
      <c r="P26" s="69" t="s">
        <v>33</v>
      </c>
    </row>
    <row r="27" spans="1:24" s="40" customFormat="1" x14ac:dyDescent="0.3">
      <c r="A27" s="43" t="str">
        <f>IF(AND(DAY(A43)=1,MONTH(A43)=1),"Ja","Nein")</f>
        <v>Ja</v>
      </c>
      <c r="B27" s="34" t="s">
        <v>32</v>
      </c>
      <c r="D27" s="105"/>
      <c r="F27" s="42"/>
      <c r="H27" s="41"/>
      <c r="I27" s="42"/>
      <c r="J27" s="42"/>
      <c r="K27" s="42"/>
      <c r="L27" s="42"/>
      <c r="M27" s="42"/>
      <c r="P27" s="69"/>
    </row>
    <row r="28" spans="1:24" s="40" customFormat="1" ht="13.8" x14ac:dyDescent="0.3">
      <c r="F28" s="42"/>
      <c r="H28" s="41"/>
      <c r="I28" s="42"/>
      <c r="J28" s="42"/>
      <c r="K28" s="42"/>
      <c r="L28" s="42"/>
      <c r="M28" s="42"/>
      <c r="P28" s="69"/>
    </row>
    <row r="29" spans="1:24" s="40" customFormat="1" ht="13.8" x14ac:dyDescent="0.3">
      <c r="F29" s="42"/>
      <c r="H29" s="41"/>
      <c r="I29" s="42"/>
      <c r="J29" s="42"/>
      <c r="K29" s="42"/>
      <c r="L29" s="42"/>
      <c r="M29" s="42"/>
      <c r="P29" s="69"/>
    </row>
    <row r="30" spans="1:24" x14ac:dyDescent="0.3">
      <c r="A30" s="117" t="s">
        <v>9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9"/>
      <c r="Q30" s="70"/>
      <c r="R30" s="70"/>
      <c r="S30" s="70"/>
      <c r="T30" s="70"/>
      <c r="U30" s="70"/>
      <c r="V30" s="70"/>
      <c r="W30" s="16"/>
      <c r="X30" s="16"/>
    </row>
    <row r="31" spans="1:24" x14ac:dyDescent="0.3">
      <c r="A31" s="117" t="s">
        <v>56</v>
      </c>
      <c r="B31" s="118"/>
      <c r="C31" s="119"/>
      <c r="D31" s="118" t="s">
        <v>35</v>
      </c>
      <c r="E31" s="118"/>
      <c r="F31" s="119"/>
      <c r="G31" s="117" t="s">
        <v>48</v>
      </c>
      <c r="H31" s="118"/>
      <c r="I31" s="118"/>
      <c r="J31" s="118"/>
      <c r="K31" s="119"/>
      <c r="L31" s="44"/>
      <c r="M31" s="29"/>
      <c r="N31" s="29"/>
      <c r="O31" s="29"/>
      <c r="P31" s="29"/>
      <c r="Q31" s="70"/>
      <c r="R31" s="70"/>
      <c r="S31" s="70"/>
      <c r="T31" s="70"/>
      <c r="U31" s="70"/>
      <c r="V31" s="70"/>
      <c r="W31" s="16"/>
      <c r="X31" s="16"/>
    </row>
    <row r="32" spans="1:24" ht="57.6" x14ac:dyDescent="0.3">
      <c r="A32" s="36" t="s">
        <v>4</v>
      </c>
      <c r="B32" s="50" t="s">
        <v>68</v>
      </c>
      <c r="C32" s="50" t="s">
        <v>43</v>
      </c>
      <c r="D32" s="63" t="s">
        <v>44</v>
      </c>
      <c r="E32" s="63" t="s">
        <v>49</v>
      </c>
      <c r="F32" s="36" t="s">
        <v>29</v>
      </c>
      <c r="G32" s="36" t="s">
        <v>42</v>
      </c>
      <c r="H32" s="36" t="s">
        <v>5</v>
      </c>
      <c r="I32" s="36" t="s">
        <v>28</v>
      </c>
      <c r="J32" s="36" t="s">
        <v>62</v>
      </c>
      <c r="K32" s="36" t="s">
        <v>61</v>
      </c>
      <c r="L32" s="36" t="s">
        <v>27</v>
      </c>
      <c r="M32" s="36" t="s">
        <v>54</v>
      </c>
      <c r="N32" s="36" t="s">
        <v>55</v>
      </c>
      <c r="O32" s="36" t="s">
        <v>10</v>
      </c>
      <c r="P32" s="36" t="s">
        <v>12</v>
      </c>
      <c r="Q32" s="16"/>
      <c r="R32" s="16"/>
    </row>
    <row r="33" spans="1:18" x14ac:dyDescent="0.3">
      <c r="A33" s="6"/>
      <c r="B33" s="51"/>
      <c r="C33" s="52">
        <f>SUM(C37:C40)</f>
        <v>80000</v>
      </c>
      <c r="D33" s="64"/>
      <c r="E33" s="64"/>
      <c r="F33" s="26">
        <f>SUM(F37:F41)</f>
        <v>78143.992099320909</v>
      </c>
      <c r="G33" s="13" t="str">
        <f>_xlfn.CONCAT(C15,"€   (",C21*100,"%)")</f>
        <v>1500€   (2%)</v>
      </c>
      <c r="H33" s="13" t="str">
        <f>_xlfn.CONCAT(C19,"€   (",C20*100,"%)")</f>
        <v>0,2€   (3%)</v>
      </c>
      <c r="I33" s="6"/>
      <c r="J33" s="6"/>
      <c r="K33" s="6"/>
      <c r="L33" s="6"/>
      <c r="M33" s="6"/>
      <c r="N33" s="6"/>
      <c r="O33" s="6"/>
      <c r="P33" s="76"/>
      <c r="Q33" s="16"/>
      <c r="R33" s="16"/>
    </row>
    <row r="34" spans="1:18" ht="14.55" customHeight="1" x14ac:dyDescent="0.3">
      <c r="A34" s="6"/>
      <c r="B34" s="51"/>
      <c r="C34" s="53"/>
      <c r="D34" s="64"/>
      <c r="E34" s="64"/>
      <c r="F34" s="26"/>
      <c r="G34" s="13"/>
      <c r="H34" s="23"/>
      <c r="I34" s="6"/>
      <c r="J34" s="6"/>
      <c r="K34" s="6"/>
      <c r="L34" s="6"/>
      <c r="M34" s="6"/>
      <c r="N34" s="6"/>
      <c r="O34" s="6"/>
      <c r="P34" s="7"/>
      <c r="Q34" s="16"/>
      <c r="R34" s="16"/>
    </row>
    <row r="35" spans="1:18" x14ac:dyDescent="0.3">
      <c r="A35" s="132" t="s">
        <v>20</v>
      </c>
      <c r="B35" s="132"/>
      <c r="C35" s="132"/>
      <c r="D35" s="67"/>
      <c r="E35" s="67"/>
      <c r="F35" s="38"/>
      <c r="G35" s="21"/>
      <c r="H35" s="1"/>
      <c r="I35" s="20"/>
      <c r="J35" s="20"/>
      <c r="K35" s="20"/>
      <c r="M35" s="15"/>
    </row>
    <row r="36" spans="1:18" ht="15.6" customHeight="1" x14ac:dyDescent="0.3">
      <c r="A36" s="6"/>
      <c r="B36" s="51"/>
      <c r="C36" s="53"/>
      <c r="D36" s="64"/>
      <c r="E36" s="64"/>
      <c r="F36" s="26"/>
      <c r="G36" s="13"/>
      <c r="H36" s="23"/>
      <c r="I36" s="6"/>
      <c r="J36" s="6"/>
      <c r="K36" s="6"/>
      <c r="L36" s="6"/>
      <c r="M36" s="6"/>
      <c r="N36" s="6"/>
      <c r="O36" s="6"/>
      <c r="P36" s="7"/>
      <c r="Q36" s="16"/>
      <c r="R36" s="16"/>
    </row>
    <row r="37" spans="1:18" x14ac:dyDescent="0.3">
      <c r="A37" s="22">
        <f>D4</f>
        <v>45627</v>
      </c>
      <c r="B37" s="49">
        <f>(A$43-A37)/365</f>
        <v>8.4931506849315067E-2</v>
      </c>
      <c r="C37" s="52">
        <f>C4</f>
        <v>10000</v>
      </c>
      <c r="D37" s="65"/>
      <c r="E37" s="65"/>
      <c r="F37" s="13">
        <f>C37*(1+C$16)^B37</f>
        <v>10041.52419664797</v>
      </c>
      <c r="G37" s="2"/>
      <c r="H37" s="23"/>
      <c r="I37" s="13"/>
      <c r="J37" s="13"/>
      <c r="K37" s="31"/>
      <c r="L37" s="31"/>
      <c r="M37" s="2"/>
      <c r="N37" s="13"/>
      <c r="O37" s="13"/>
      <c r="P37" s="76">
        <f>-F37</f>
        <v>-10041.52419664797</v>
      </c>
      <c r="Q37" s="17"/>
      <c r="R37" s="18"/>
    </row>
    <row r="38" spans="1:18" x14ac:dyDescent="0.3">
      <c r="A38" s="22">
        <f>IF(C5=0,"",D5)</f>
        <v>45717</v>
      </c>
      <c r="B38" s="49">
        <f>(A$43-A38)/365</f>
        <v>-0.16164383561643836</v>
      </c>
      <c r="C38" s="52">
        <f>C5</f>
        <v>30000</v>
      </c>
      <c r="D38" s="65"/>
      <c r="E38" s="65"/>
      <c r="F38" s="13">
        <f>C38*(1+C$16)^B38</f>
        <v>29764.331657648236</v>
      </c>
      <c r="G38" s="2"/>
      <c r="H38" s="23"/>
      <c r="I38" s="13"/>
      <c r="J38" s="13"/>
      <c r="K38" s="31"/>
      <c r="L38" s="31"/>
      <c r="M38" s="12"/>
      <c r="N38" s="13"/>
      <c r="O38" s="13"/>
      <c r="P38" s="76">
        <f>P37-F38</f>
        <v>-39805.855854296206</v>
      </c>
      <c r="Q38" s="17"/>
      <c r="R38" s="18"/>
    </row>
    <row r="39" spans="1:18" x14ac:dyDescent="0.3">
      <c r="A39" s="22">
        <f>IF(C6=0,"",D6)</f>
        <v>45960</v>
      </c>
      <c r="B39" s="49">
        <f>(A$43-A39)/365</f>
        <v>-0.82739726027397265</v>
      </c>
      <c r="C39" s="52">
        <f>C6</f>
        <v>30000</v>
      </c>
      <c r="D39" s="65"/>
      <c r="E39" s="65"/>
      <c r="F39" s="13">
        <f>C39*(1+C$16)^B39</f>
        <v>28813.05357248076</v>
      </c>
      <c r="G39" s="2"/>
      <c r="H39" s="23"/>
      <c r="I39" s="13"/>
      <c r="J39" s="13"/>
      <c r="K39" s="31"/>
      <c r="L39" s="31"/>
      <c r="M39" s="12"/>
      <c r="N39" s="13"/>
      <c r="O39" s="13"/>
      <c r="P39" s="76">
        <f>P38-F39</f>
        <v>-68618.909426776969</v>
      </c>
      <c r="Q39" s="17"/>
      <c r="R39" s="18"/>
    </row>
    <row r="40" spans="1:18" x14ac:dyDescent="0.3">
      <c r="A40" s="22">
        <f>IF(C7=0,"",D7)</f>
        <v>46022</v>
      </c>
      <c r="B40" s="49">
        <f>(A$43-A40)/365</f>
        <v>-0.99726027397260275</v>
      </c>
      <c r="C40" s="52">
        <f>C7</f>
        <v>10000</v>
      </c>
      <c r="D40" s="65"/>
      <c r="E40" s="65"/>
      <c r="F40" s="13">
        <f>C40*(1+C$16)^B40</f>
        <v>9525.0826725439383</v>
      </c>
      <c r="G40" s="2"/>
      <c r="H40" s="23"/>
      <c r="I40" s="13"/>
      <c r="J40" s="13"/>
      <c r="K40" s="31"/>
      <c r="L40" s="31"/>
      <c r="M40" s="12"/>
      <c r="N40" s="13"/>
      <c r="O40" s="13"/>
      <c r="P40" s="76">
        <f>P39-F40</f>
        <v>-78143.992099320909</v>
      </c>
      <c r="Q40" s="17"/>
      <c r="R40" s="18"/>
    </row>
    <row r="41" spans="1:18" x14ac:dyDescent="0.3">
      <c r="A41" s="22"/>
      <c r="B41" s="47"/>
      <c r="C41" s="52"/>
      <c r="D41" s="65"/>
      <c r="E41" s="65"/>
      <c r="F41" s="13"/>
      <c r="G41" s="2"/>
      <c r="H41" s="23"/>
      <c r="I41" s="13"/>
      <c r="J41" s="13"/>
      <c r="K41" s="31"/>
      <c r="L41" s="31"/>
      <c r="M41" s="12"/>
      <c r="N41" s="13"/>
      <c r="O41" s="13"/>
      <c r="P41" s="76"/>
      <c r="Q41" s="17"/>
      <c r="R41" s="18"/>
    </row>
    <row r="42" spans="1:18" x14ac:dyDescent="0.3">
      <c r="A42" s="120"/>
      <c r="B42" s="120"/>
      <c r="C42" s="120"/>
      <c r="D42" s="66"/>
      <c r="E42" s="66"/>
      <c r="F42" s="35"/>
      <c r="G42" s="30" t="s">
        <v>21</v>
      </c>
      <c r="H42" s="30"/>
      <c r="I42" s="30"/>
      <c r="J42" s="30"/>
      <c r="K42" s="32"/>
      <c r="L42" s="32"/>
      <c r="M42" s="30"/>
      <c r="N42" s="30"/>
      <c r="O42" s="30"/>
      <c r="P42" s="30"/>
    </row>
    <row r="43" spans="1:18" x14ac:dyDescent="0.3">
      <c r="A43" s="37">
        <f>C13</f>
        <v>45658</v>
      </c>
      <c r="B43" s="47">
        <f>IF(A27="Ja",1,(DATE(YEAR(A43),12,31)-DATE(YEAR(A43),MONTH(A43),DAY(A43))+1)/365)</f>
        <v>1</v>
      </c>
      <c r="C43" s="48"/>
      <c r="D43" s="65">
        <f>($C$4+$C$5+$C$6+$C$7+$C$9)/$C$14</f>
        <v>4000</v>
      </c>
      <c r="E43" s="65">
        <f>$D$43*$C$25</f>
        <v>1333</v>
      </c>
      <c r="F43" s="24"/>
      <c r="G43" s="14">
        <f>(C15*B43)</f>
        <v>1500</v>
      </c>
      <c r="H43" s="23">
        <f>C19</f>
        <v>0.2</v>
      </c>
      <c r="I43" s="14">
        <f>$C$18*$H43+$E43</f>
        <v>17333</v>
      </c>
      <c r="J43" s="14">
        <f>G43</f>
        <v>1500</v>
      </c>
      <c r="K43" s="46">
        <f>I43-G43</f>
        <v>15833</v>
      </c>
      <c r="L43" s="46">
        <f>K43-J43</f>
        <v>14333</v>
      </c>
      <c r="M43" s="12">
        <f>IF($B44="","",IF(A27="Ja",1/(1+C$16)^1,1/(1+C$16)^B43))</f>
        <v>0.95238095238095233</v>
      </c>
      <c r="N43" s="46">
        <f>(K43-J43)*M43</f>
        <v>13650.476190476189</v>
      </c>
      <c r="O43" s="46">
        <f>N43</f>
        <v>13650.476190476189</v>
      </c>
      <c r="P43" s="76">
        <f>P40+N43</f>
        <v>-64493.515908844718</v>
      </c>
      <c r="Q43" s="17"/>
      <c r="R43" s="18"/>
    </row>
    <row r="44" spans="1:18" x14ac:dyDescent="0.3">
      <c r="A44" s="22">
        <f>IF($B44="","",(DATE(YEAR(A43)+1,MONTH(1),DAY(1))))</f>
        <v>46023</v>
      </c>
      <c r="B44" s="49">
        <f>IFERROR(IF(IF(A27="Ja",2,1)&lt;=$C$14,IF(A27="Ja",2,1),""),"")</f>
        <v>2</v>
      </c>
      <c r="C44" s="49"/>
      <c r="D44" s="65">
        <f>IF($B44="","",($C$4+$C$5+$C$6+$C$7+$C$9)/$C$14)</f>
        <v>4000</v>
      </c>
      <c r="E44" s="65">
        <f>IF($B44="","",D44*$C$25)</f>
        <v>1333</v>
      </c>
      <c r="F44" s="3"/>
      <c r="G44" s="14">
        <f t="shared" ref="G44:G75" si="0">IF($B44="","",G43*(1+C$21))</f>
        <v>1530</v>
      </c>
      <c r="H44" s="23">
        <f t="shared" ref="H44:H75" si="1">IF($B44="","",H43*(1+C$20))</f>
        <v>0.20600000000000002</v>
      </c>
      <c r="I44" s="14">
        <f t="shared" ref="I44:I75" si="2">IF($B44="","",$C$18*$H44+$E44)</f>
        <v>17813</v>
      </c>
      <c r="J44" s="14">
        <f>IF($B44="","",G44)</f>
        <v>1530</v>
      </c>
      <c r="K44" s="46">
        <f>IF($B44="","",I44-G44)</f>
        <v>16283</v>
      </c>
      <c r="L44" s="46">
        <f>IF($B44="","",L43+K44-J44)</f>
        <v>29086</v>
      </c>
      <c r="M44" s="12">
        <f t="shared" ref="M44:M75" si="3">IF($B44="","",1/(1+C$16)^(B44))</f>
        <v>0.90702947845804982</v>
      </c>
      <c r="N44" s="46">
        <f>IF($B44="","",(K44-J44)*M44)</f>
        <v>13381.405895691609</v>
      </c>
      <c r="O44" s="46">
        <f>IF($B44="","",O43+N44)</f>
        <v>27031.882086167796</v>
      </c>
      <c r="P44" s="76">
        <f>IF($B44="","",P43+N44)</f>
        <v>-51112.110013153113</v>
      </c>
      <c r="Q44" s="17"/>
      <c r="R44" s="18"/>
    </row>
    <row r="45" spans="1:18" x14ac:dyDescent="0.3">
      <c r="A45" s="22">
        <f>IF($B45="","",(DATE(YEAR(A44)+1,MONTH(1),DAY(1))))</f>
        <v>46388</v>
      </c>
      <c r="B45" s="49">
        <f>IFERROR(IF(B44+1&lt;=$C$14,B44+1,""),"")</f>
        <v>3</v>
      </c>
      <c r="C45" s="49"/>
      <c r="D45" s="65">
        <f>IF($B45="","",($C$4+$C$5+$C$6+$C$7+$C$9)/$C$14)</f>
        <v>4000</v>
      </c>
      <c r="E45" s="65">
        <f>IF($B45="","",D45*$C$25)</f>
        <v>1333</v>
      </c>
      <c r="F45" s="3"/>
      <c r="G45" s="14">
        <f t="shared" si="0"/>
        <v>1560.6000000000001</v>
      </c>
      <c r="H45" s="23">
        <f t="shared" si="1"/>
        <v>0.21218000000000004</v>
      </c>
      <c r="I45" s="14">
        <f t="shared" si="2"/>
        <v>18307.400000000001</v>
      </c>
      <c r="J45" s="14">
        <f>IF($B45="","",G45)</f>
        <v>1560.6000000000001</v>
      </c>
      <c r="K45" s="46">
        <f>IF($B45="","",I45-G45)</f>
        <v>16746.800000000003</v>
      </c>
      <c r="L45" s="46">
        <f>IF($B45="","",L44+K45-J45)</f>
        <v>44272.200000000004</v>
      </c>
      <c r="M45" s="12">
        <f t="shared" si="3"/>
        <v>0.86383759853147601</v>
      </c>
      <c r="N45" s="46">
        <f>IF($B45="","",(K45-J45)*M45)</f>
        <v>13118.410538818704</v>
      </c>
      <c r="O45" s="46">
        <f>IF($B45="","",O44+N45)</f>
        <v>40150.292624986498</v>
      </c>
      <c r="P45" s="76">
        <f>IF($B45="","",P44+N45)</f>
        <v>-37993.699474334411</v>
      </c>
      <c r="Q45" s="17"/>
      <c r="R45" s="18"/>
    </row>
    <row r="46" spans="1:18" x14ac:dyDescent="0.3">
      <c r="A46" s="22">
        <f t="shared" ref="A46:A61" si="4">IF($B46="","",(DATE(YEAR(A45)+1,MONTH(1),DAY(1))))</f>
        <v>46753</v>
      </c>
      <c r="B46" s="49">
        <f>IFERROR(IF(B45+1&lt;=$C$14,B45+1,""),"")</f>
        <v>4</v>
      </c>
      <c r="C46" s="49"/>
      <c r="D46" s="65">
        <f t="shared" ref="D46:D93" si="5">IF($B46="","",($C$4+$C$5+$C$6+$C$7+$C$9)/$C$14)</f>
        <v>4000</v>
      </c>
      <c r="E46" s="65">
        <f t="shared" ref="E46:E93" si="6">IF($B46="","",D46*$C$25)</f>
        <v>1333</v>
      </c>
      <c r="F46" s="3"/>
      <c r="G46" s="14">
        <f t="shared" si="0"/>
        <v>1591.8120000000001</v>
      </c>
      <c r="H46" s="23">
        <f t="shared" si="1"/>
        <v>0.21854540000000003</v>
      </c>
      <c r="I46" s="14">
        <f t="shared" si="2"/>
        <v>18816.632000000001</v>
      </c>
      <c r="J46" s="14">
        <f t="shared" ref="J46:J62" si="7">IF($B46="","",G46)</f>
        <v>1591.8120000000001</v>
      </c>
      <c r="K46" s="46">
        <f t="shared" ref="K46:K87" si="8">IF($B46="","",I46-G46)</f>
        <v>17224.82</v>
      </c>
      <c r="L46" s="46">
        <f t="shared" ref="L46" si="9">IF($B46="","",L45+K46-J46)</f>
        <v>59905.208000000006</v>
      </c>
      <c r="M46" s="12">
        <f t="shared" si="3"/>
        <v>0.82270247479188197</v>
      </c>
      <c r="N46" s="46">
        <f t="shared" ref="N46:N86" si="10">IF($B46="","",(K46-J46)*M46)</f>
        <v>12861.314370041289</v>
      </c>
      <c r="O46" s="46">
        <f t="shared" ref="O46:O93" si="11">IF($B46="","",O45+N46)</f>
        <v>53011.606995027789</v>
      </c>
      <c r="P46" s="76">
        <f t="shared" ref="P46:P80" si="12">IF($B46="","",P45+N46)</f>
        <v>-25132.38510429312</v>
      </c>
      <c r="Q46" s="17"/>
      <c r="R46" s="18"/>
    </row>
    <row r="47" spans="1:18" x14ac:dyDescent="0.3">
      <c r="A47" s="22">
        <f t="shared" si="4"/>
        <v>47119</v>
      </c>
      <c r="B47" s="49">
        <f t="shared" ref="B47:B93" si="13">IFERROR(IF(B46+1&lt;=$C$14,B46+1,""),"")</f>
        <v>5</v>
      </c>
      <c r="C47" s="49"/>
      <c r="D47" s="65">
        <f t="shared" si="5"/>
        <v>4000</v>
      </c>
      <c r="E47" s="65">
        <f t="shared" si="6"/>
        <v>1333</v>
      </c>
      <c r="F47" s="3"/>
      <c r="G47" s="14">
        <f t="shared" si="0"/>
        <v>1623.6482400000002</v>
      </c>
      <c r="H47" s="23">
        <f t="shared" si="1"/>
        <v>0.22510176200000004</v>
      </c>
      <c r="I47" s="14">
        <f t="shared" si="2"/>
        <v>19341.140960000004</v>
      </c>
      <c r="J47" s="14">
        <f t="shared" si="7"/>
        <v>1623.6482400000002</v>
      </c>
      <c r="K47" s="46">
        <f t="shared" si="8"/>
        <v>17717.492720000006</v>
      </c>
      <c r="L47" s="46">
        <f>IF($B47="","",L46+K47-J47)</f>
        <v>75999.052480000013</v>
      </c>
      <c r="M47" s="12">
        <f t="shared" si="3"/>
        <v>0.78352616646845896</v>
      </c>
      <c r="N47" s="46">
        <f t="shared" si="10"/>
        <v>12609.948269153974</v>
      </c>
      <c r="O47" s="46">
        <f t="shared" si="11"/>
        <v>65621.555264181763</v>
      </c>
      <c r="P47" s="76">
        <f t="shared" si="12"/>
        <v>-12522.436835139146</v>
      </c>
      <c r="Q47" s="17"/>
      <c r="R47" s="18"/>
    </row>
    <row r="48" spans="1:18" x14ac:dyDescent="0.3">
      <c r="A48" s="22">
        <f t="shared" si="4"/>
        <v>47484</v>
      </c>
      <c r="B48" s="49">
        <f t="shared" si="13"/>
        <v>6</v>
      </c>
      <c r="C48" s="49"/>
      <c r="D48" s="65">
        <f t="shared" si="5"/>
        <v>4000</v>
      </c>
      <c r="E48" s="65">
        <f t="shared" si="6"/>
        <v>1333</v>
      </c>
      <c r="F48" s="3"/>
      <c r="G48" s="14">
        <f t="shared" si="0"/>
        <v>1656.1212048000002</v>
      </c>
      <c r="H48" s="23">
        <f t="shared" si="1"/>
        <v>0.23185481486000004</v>
      </c>
      <c r="I48" s="14">
        <f t="shared" si="2"/>
        <v>19881.385188800003</v>
      </c>
      <c r="J48" s="14">
        <f t="shared" si="7"/>
        <v>1656.1212048000002</v>
      </c>
      <c r="K48" s="46">
        <f t="shared" si="8"/>
        <v>18225.263984000001</v>
      </c>
      <c r="L48" s="46">
        <f t="shared" ref="L48:L93" si="14">IF($B48="","",L47+K48-J48)</f>
        <v>92568.195259200016</v>
      </c>
      <c r="M48" s="12">
        <f t="shared" si="3"/>
        <v>0.74621539663662761</v>
      </c>
      <c r="N48" s="46">
        <f t="shared" si="10"/>
        <v>12364.149450909643</v>
      </c>
      <c r="O48" s="46">
        <f t="shared" si="11"/>
        <v>77985.7047150914</v>
      </c>
      <c r="P48" s="76">
        <f t="shared" si="12"/>
        <v>-158.287384229503</v>
      </c>
      <c r="Q48" s="17"/>
    </row>
    <row r="49" spans="1:18" x14ac:dyDescent="0.3">
      <c r="A49" s="22">
        <f t="shared" si="4"/>
        <v>47849</v>
      </c>
      <c r="B49" s="49">
        <f t="shared" si="13"/>
        <v>7</v>
      </c>
      <c r="C49" s="49"/>
      <c r="D49" s="65">
        <f t="shared" si="5"/>
        <v>4000</v>
      </c>
      <c r="E49" s="65">
        <f t="shared" si="6"/>
        <v>1333</v>
      </c>
      <c r="F49" s="3"/>
      <c r="G49" s="14">
        <f t="shared" si="0"/>
        <v>1689.2436288960002</v>
      </c>
      <c r="H49" s="23">
        <f t="shared" si="1"/>
        <v>0.23881045930580005</v>
      </c>
      <c r="I49" s="14">
        <f t="shared" si="2"/>
        <v>20437.836744464006</v>
      </c>
      <c r="J49" s="14">
        <f t="shared" si="7"/>
        <v>1689.2436288960002</v>
      </c>
      <c r="K49" s="46">
        <f t="shared" si="8"/>
        <v>18748.593115568005</v>
      </c>
      <c r="L49" s="46">
        <f t="shared" si="14"/>
        <v>109627.54474587202</v>
      </c>
      <c r="M49" s="12">
        <f t="shared" si="3"/>
        <v>0.71068133013012147</v>
      </c>
      <c r="N49" s="46">
        <f t="shared" si="10"/>
        <v>12123.761184342664</v>
      </c>
      <c r="O49" s="46">
        <f t="shared" si="11"/>
        <v>90109.465899434057</v>
      </c>
      <c r="P49" s="76">
        <f t="shared" si="12"/>
        <v>11965.473800113161</v>
      </c>
      <c r="Q49" s="17"/>
    </row>
    <row r="50" spans="1:18" x14ac:dyDescent="0.3">
      <c r="A50" s="22">
        <f t="shared" si="4"/>
        <v>48214</v>
      </c>
      <c r="B50" s="49">
        <f t="shared" si="13"/>
        <v>8</v>
      </c>
      <c r="C50" s="49"/>
      <c r="D50" s="65">
        <f t="shared" si="5"/>
        <v>4000</v>
      </c>
      <c r="E50" s="65">
        <f t="shared" si="6"/>
        <v>1333</v>
      </c>
      <c r="F50" s="3"/>
      <c r="G50" s="14">
        <f t="shared" si="0"/>
        <v>1723.0285014739202</v>
      </c>
      <c r="H50" s="23">
        <f t="shared" si="1"/>
        <v>0.24597477308497406</v>
      </c>
      <c r="I50" s="14">
        <f t="shared" si="2"/>
        <v>21010.981846797924</v>
      </c>
      <c r="J50" s="14">
        <f t="shared" si="7"/>
        <v>1723.0285014739202</v>
      </c>
      <c r="K50" s="46">
        <f t="shared" si="8"/>
        <v>19287.953345324004</v>
      </c>
      <c r="L50" s="46">
        <f t="shared" si="14"/>
        <v>127192.4695897221</v>
      </c>
      <c r="M50" s="12">
        <f t="shared" si="3"/>
        <v>0.67683936202868722</v>
      </c>
      <c r="N50" s="46">
        <f t="shared" si="10"/>
        <v>11888.632525393328</v>
      </c>
      <c r="O50" s="46">
        <f t="shared" si="11"/>
        <v>101998.09842482739</v>
      </c>
      <c r="P50" s="76">
        <f t="shared" si="12"/>
        <v>23854.106325506487</v>
      </c>
      <c r="Q50" s="17"/>
    </row>
    <row r="51" spans="1:18" x14ac:dyDescent="0.3">
      <c r="A51" s="22">
        <f t="shared" si="4"/>
        <v>48580</v>
      </c>
      <c r="B51" s="49">
        <f t="shared" si="13"/>
        <v>9</v>
      </c>
      <c r="C51" s="49"/>
      <c r="D51" s="65">
        <f t="shared" si="5"/>
        <v>4000</v>
      </c>
      <c r="E51" s="65">
        <f t="shared" si="6"/>
        <v>1333</v>
      </c>
      <c r="F51" s="3"/>
      <c r="G51" s="14">
        <f t="shared" si="0"/>
        <v>1757.4890715033987</v>
      </c>
      <c r="H51" s="23">
        <f t="shared" si="1"/>
        <v>0.2533540162775233</v>
      </c>
      <c r="I51" s="14">
        <f t="shared" si="2"/>
        <v>21601.321302201864</v>
      </c>
      <c r="J51" s="14">
        <f t="shared" si="7"/>
        <v>1757.4890715033987</v>
      </c>
      <c r="K51" s="46">
        <f t="shared" si="8"/>
        <v>19843.832230698466</v>
      </c>
      <c r="L51" s="46">
        <f t="shared" si="14"/>
        <v>145278.81274891717</v>
      </c>
      <c r="M51" s="12">
        <f t="shared" si="3"/>
        <v>0.64460891621779726</v>
      </c>
      <c r="N51" s="46">
        <f t="shared" si="10"/>
        <v>11658.618062191905</v>
      </c>
      <c r="O51" s="46">
        <f t="shared" si="11"/>
        <v>113656.71648701929</v>
      </c>
      <c r="P51" s="76">
        <f t="shared" si="12"/>
        <v>35512.724387698392</v>
      </c>
      <c r="Q51" s="17"/>
    </row>
    <row r="52" spans="1:18" x14ac:dyDescent="0.3">
      <c r="A52" s="22">
        <f t="shared" si="4"/>
        <v>48945</v>
      </c>
      <c r="B52" s="49">
        <f t="shared" si="13"/>
        <v>10</v>
      </c>
      <c r="C52" s="49"/>
      <c r="D52" s="65">
        <f t="shared" si="5"/>
        <v>4000</v>
      </c>
      <c r="E52" s="65">
        <f t="shared" si="6"/>
        <v>1333</v>
      </c>
      <c r="F52" s="3"/>
      <c r="G52" s="14">
        <f t="shared" si="0"/>
        <v>1792.6388529334668</v>
      </c>
      <c r="H52" s="23">
        <f t="shared" si="1"/>
        <v>0.26095463676584901</v>
      </c>
      <c r="I52" s="14">
        <f t="shared" si="2"/>
        <v>22209.37094126792</v>
      </c>
      <c r="J52" s="14">
        <f t="shared" si="7"/>
        <v>1792.6388529334668</v>
      </c>
      <c r="K52" s="46">
        <f t="shared" si="8"/>
        <v>20416.732088334455</v>
      </c>
      <c r="L52" s="46">
        <f t="shared" si="14"/>
        <v>163902.90598431815</v>
      </c>
      <c r="M52" s="12">
        <f t="shared" si="3"/>
        <v>0.61391325354075932</v>
      </c>
      <c r="N52" s="46">
        <f t="shared" si="10"/>
        <v>11433.577672391468</v>
      </c>
      <c r="O52" s="46">
        <f t="shared" si="11"/>
        <v>125090.29415941075</v>
      </c>
      <c r="P52" s="76">
        <f t="shared" si="12"/>
        <v>46946.30206008986</v>
      </c>
      <c r="Q52" s="17"/>
      <c r="R52" s="18"/>
    </row>
    <row r="53" spans="1:18" x14ac:dyDescent="0.3">
      <c r="A53" s="22">
        <f t="shared" si="4"/>
        <v>49310</v>
      </c>
      <c r="B53" s="49">
        <f t="shared" si="13"/>
        <v>11</v>
      </c>
      <c r="C53" s="49"/>
      <c r="D53" s="65">
        <f t="shared" si="5"/>
        <v>4000</v>
      </c>
      <c r="E53" s="65">
        <f t="shared" si="6"/>
        <v>1333</v>
      </c>
      <c r="F53" s="3"/>
      <c r="G53" s="14">
        <f t="shared" si="0"/>
        <v>1828.491629992136</v>
      </c>
      <c r="H53" s="23">
        <f t="shared" si="1"/>
        <v>0.2687832758688245</v>
      </c>
      <c r="I53" s="14">
        <f t="shared" si="2"/>
        <v>22835.662069505961</v>
      </c>
      <c r="J53" s="14">
        <f t="shared" si="7"/>
        <v>1828.491629992136</v>
      </c>
      <c r="K53" s="46">
        <f t="shared" si="8"/>
        <v>21007.170439513826</v>
      </c>
      <c r="L53" s="46">
        <f t="shared" si="14"/>
        <v>183081.58479383984</v>
      </c>
      <c r="M53" s="12">
        <f t="shared" si="3"/>
        <v>0.5846792890864374</v>
      </c>
      <c r="N53" s="46">
        <f t="shared" si="10"/>
        <v>11213.376291968263</v>
      </c>
      <c r="O53" s="46">
        <f t="shared" si="11"/>
        <v>136303.67045137903</v>
      </c>
      <c r="P53" s="76">
        <f t="shared" si="12"/>
        <v>58159.678352058123</v>
      </c>
      <c r="Q53" s="17"/>
      <c r="R53" s="18"/>
    </row>
    <row r="54" spans="1:18" x14ac:dyDescent="0.3">
      <c r="A54" s="22">
        <f t="shared" si="4"/>
        <v>49675</v>
      </c>
      <c r="B54" s="49">
        <f t="shared" si="13"/>
        <v>12</v>
      </c>
      <c r="C54" s="49"/>
      <c r="D54" s="65">
        <f t="shared" si="5"/>
        <v>4000</v>
      </c>
      <c r="E54" s="65">
        <f t="shared" si="6"/>
        <v>1333</v>
      </c>
      <c r="F54" s="3"/>
      <c r="G54" s="14">
        <f t="shared" si="0"/>
        <v>1865.0614625919789</v>
      </c>
      <c r="H54" s="23">
        <f t="shared" si="1"/>
        <v>0.27684677414488923</v>
      </c>
      <c r="I54" s="14">
        <f t="shared" si="2"/>
        <v>23480.741931591139</v>
      </c>
      <c r="J54" s="14">
        <f t="shared" si="7"/>
        <v>1865.0614625919789</v>
      </c>
      <c r="K54" s="46">
        <f t="shared" si="8"/>
        <v>21615.680468999162</v>
      </c>
      <c r="L54" s="46">
        <f t="shared" si="14"/>
        <v>202832.20380024702</v>
      </c>
      <c r="M54" s="12">
        <f t="shared" si="3"/>
        <v>0.5568374181775595</v>
      </c>
      <c r="N54" s="46">
        <f t="shared" si="10"/>
        <v>10997.883694936412</v>
      </c>
      <c r="O54" s="46">
        <f t="shared" si="11"/>
        <v>147301.55414631544</v>
      </c>
      <c r="P54" s="76">
        <f t="shared" si="12"/>
        <v>69157.562046994542</v>
      </c>
      <c r="Q54" s="17"/>
      <c r="R54" s="18"/>
    </row>
    <row r="55" spans="1:18" x14ac:dyDescent="0.3">
      <c r="A55" s="22">
        <f t="shared" si="4"/>
        <v>50041</v>
      </c>
      <c r="B55" s="49">
        <f t="shared" si="13"/>
        <v>13</v>
      </c>
      <c r="C55" s="49"/>
      <c r="D55" s="65">
        <f t="shared" si="5"/>
        <v>4000</v>
      </c>
      <c r="E55" s="65">
        <f t="shared" si="6"/>
        <v>1333</v>
      </c>
      <c r="F55" s="3"/>
      <c r="G55" s="14">
        <f t="shared" si="0"/>
        <v>1902.3626918438185</v>
      </c>
      <c r="H55" s="23">
        <f t="shared" si="1"/>
        <v>0.28515217736923593</v>
      </c>
      <c r="I55" s="14">
        <f t="shared" si="2"/>
        <v>24145.174189538873</v>
      </c>
      <c r="J55" s="14">
        <f t="shared" si="7"/>
        <v>1902.3626918438185</v>
      </c>
      <c r="K55" s="46">
        <f t="shared" si="8"/>
        <v>22242.811497695053</v>
      </c>
      <c r="L55" s="46">
        <f t="shared" si="14"/>
        <v>223172.65260609824</v>
      </c>
      <c r="M55" s="12">
        <f t="shared" si="3"/>
        <v>0.53032135064529462</v>
      </c>
      <c r="N55" s="46">
        <f t="shared" si="10"/>
        <v>10786.974283450498</v>
      </c>
      <c r="O55" s="46">
        <f t="shared" si="11"/>
        <v>158088.52842976592</v>
      </c>
      <c r="P55" s="76">
        <f t="shared" si="12"/>
        <v>79944.536330445044</v>
      </c>
      <c r="Q55" s="17"/>
      <c r="R55" s="18"/>
    </row>
    <row r="56" spans="1:18" x14ac:dyDescent="0.3">
      <c r="A56" s="22">
        <f t="shared" si="4"/>
        <v>50406</v>
      </c>
      <c r="B56" s="49">
        <f t="shared" si="13"/>
        <v>14</v>
      </c>
      <c r="C56" s="49"/>
      <c r="D56" s="65">
        <f t="shared" si="5"/>
        <v>4000</v>
      </c>
      <c r="E56" s="65">
        <f t="shared" si="6"/>
        <v>1333</v>
      </c>
      <c r="F56" s="3"/>
      <c r="G56" s="14">
        <f t="shared" si="0"/>
        <v>1940.409945680695</v>
      </c>
      <c r="H56" s="23">
        <f t="shared" si="1"/>
        <v>0.29370674269031299</v>
      </c>
      <c r="I56" s="14">
        <f t="shared" si="2"/>
        <v>24829.539415225041</v>
      </c>
      <c r="J56" s="14">
        <f t="shared" si="7"/>
        <v>1940.409945680695</v>
      </c>
      <c r="K56" s="46">
        <f t="shared" si="8"/>
        <v>22889.129469544347</v>
      </c>
      <c r="L56" s="46">
        <f t="shared" si="14"/>
        <v>244121.37212996188</v>
      </c>
      <c r="M56" s="12">
        <f t="shared" si="3"/>
        <v>0.50506795299551888</v>
      </c>
      <c r="N56" s="46">
        <f t="shared" si="10"/>
        <v>10580.526887795075</v>
      </c>
      <c r="O56" s="46">
        <f t="shared" si="11"/>
        <v>168669.055317561</v>
      </c>
      <c r="P56" s="76">
        <f t="shared" si="12"/>
        <v>90525.063218240117</v>
      </c>
      <c r="Q56" s="17"/>
      <c r="R56" s="18"/>
    </row>
    <row r="57" spans="1:18" x14ac:dyDescent="0.3">
      <c r="A57" s="22">
        <f t="shared" si="4"/>
        <v>50771</v>
      </c>
      <c r="B57" s="49">
        <f t="shared" si="13"/>
        <v>15</v>
      </c>
      <c r="C57" s="49"/>
      <c r="D57" s="65">
        <f t="shared" si="5"/>
        <v>4000</v>
      </c>
      <c r="E57" s="65">
        <f t="shared" si="6"/>
        <v>1333</v>
      </c>
      <c r="F57" s="3"/>
      <c r="G57" s="14">
        <f t="shared" si="0"/>
        <v>1979.218144594309</v>
      </c>
      <c r="H57" s="23">
        <f t="shared" si="1"/>
        <v>0.30251794497102241</v>
      </c>
      <c r="I57" s="14">
        <f t="shared" si="2"/>
        <v>25534.435597681793</v>
      </c>
      <c r="J57" s="14">
        <f t="shared" si="7"/>
        <v>1979.218144594309</v>
      </c>
      <c r="K57" s="46">
        <f t="shared" si="8"/>
        <v>23555.217453087484</v>
      </c>
      <c r="L57" s="46">
        <f t="shared" si="14"/>
        <v>265697.37143845507</v>
      </c>
      <c r="M57" s="12">
        <f t="shared" si="3"/>
        <v>0.48101709809097021</v>
      </c>
      <c r="N57" s="46">
        <f t="shared" si="10"/>
        <v>10378.424575784167</v>
      </c>
      <c r="O57" s="46">
        <f t="shared" si="11"/>
        <v>179047.47989334515</v>
      </c>
      <c r="P57" s="76">
        <f t="shared" si="12"/>
        <v>100903.48779402429</v>
      </c>
      <c r="Q57" s="17"/>
      <c r="R57" s="18"/>
    </row>
    <row r="58" spans="1:18" x14ac:dyDescent="0.3">
      <c r="A58" s="22">
        <f t="shared" si="4"/>
        <v>51136</v>
      </c>
      <c r="B58" s="49">
        <f t="shared" si="13"/>
        <v>16</v>
      </c>
      <c r="C58" s="49"/>
      <c r="D58" s="65">
        <f t="shared" si="5"/>
        <v>4000</v>
      </c>
      <c r="E58" s="65">
        <f t="shared" si="6"/>
        <v>1333</v>
      </c>
      <c r="F58" s="3"/>
      <c r="G58" s="14">
        <f t="shared" si="0"/>
        <v>2018.8025074861953</v>
      </c>
      <c r="H58" s="23">
        <f t="shared" si="1"/>
        <v>0.31159348332015308</v>
      </c>
      <c r="I58" s="14">
        <f t="shared" si="2"/>
        <v>26260.478665612245</v>
      </c>
      <c r="J58" s="14">
        <f t="shared" si="7"/>
        <v>2018.8025074861953</v>
      </c>
      <c r="K58" s="46">
        <f t="shared" si="8"/>
        <v>24241.676158126051</v>
      </c>
      <c r="L58" s="46">
        <f t="shared" si="14"/>
        <v>287920.24508909491</v>
      </c>
      <c r="M58" s="12">
        <f t="shared" si="3"/>
        <v>0.45811152199140021</v>
      </c>
      <c r="N58" s="46">
        <f t="shared" si="10"/>
        <v>10180.554471117208</v>
      </c>
      <c r="O58" s="46">
        <f t="shared" si="11"/>
        <v>189228.03436446236</v>
      </c>
      <c r="P58" s="76">
        <f t="shared" si="12"/>
        <v>111084.0422651415</v>
      </c>
      <c r="Q58" s="17"/>
      <c r="R58" s="18"/>
    </row>
    <row r="59" spans="1:18" x14ac:dyDescent="0.3">
      <c r="A59" s="22">
        <f t="shared" si="4"/>
        <v>51502</v>
      </c>
      <c r="B59" s="49">
        <f t="shared" si="13"/>
        <v>17</v>
      </c>
      <c r="C59" s="49"/>
      <c r="D59" s="65">
        <f t="shared" si="5"/>
        <v>4000</v>
      </c>
      <c r="E59" s="65">
        <f t="shared" si="6"/>
        <v>1333</v>
      </c>
      <c r="F59" s="3"/>
      <c r="G59" s="14">
        <f t="shared" si="0"/>
        <v>2059.1785576359193</v>
      </c>
      <c r="H59" s="23">
        <f t="shared" si="1"/>
        <v>0.32094128781975767</v>
      </c>
      <c r="I59" s="14">
        <f t="shared" si="2"/>
        <v>27008.303025580615</v>
      </c>
      <c r="J59" s="14">
        <f t="shared" si="7"/>
        <v>2059.1785576359193</v>
      </c>
      <c r="K59" s="46">
        <f t="shared" si="8"/>
        <v>24949.124467944697</v>
      </c>
      <c r="L59" s="46">
        <f t="shared" si="14"/>
        <v>310810.19099940365</v>
      </c>
      <c r="M59" s="12">
        <f t="shared" si="3"/>
        <v>0.43629668761085727</v>
      </c>
      <c r="N59" s="46">
        <f t="shared" si="10"/>
        <v>9986.8075802594103</v>
      </c>
      <c r="O59" s="46">
        <f t="shared" si="11"/>
        <v>199214.84194472176</v>
      </c>
      <c r="P59" s="76">
        <f t="shared" si="12"/>
        <v>121070.84984540091</v>
      </c>
      <c r="Q59" s="17"/>
      <c r="R59" s="18"/>
    </row>
    <row r="60" spans="1:18" x14ac:dyDescent="0.3">
      <c r="A60" s="22">
        <f t="shared" si="4"/>
        <v>51867</v>
      </c>
      <c r="B60" s="49">
        <f t="shared" si="13"/>
        <v>18</v>
      </c>
      <c r="C60" s="49"/>
      <c r="D60" s="65">
        <f t="shared" si="5"/>
        <v>4000</v>
      </c>
      <c r="E60" s="65">
        <f t="shared" si="6"/>
        <v>1333</v>
      </c>
      <c r="F60" s="3"/>
      <c r="G60" s="14">
        <f t="shared" si="0"/>
        <v>2100.3621287886376</v>
      </c>
      <c r="H60" s="23">
        <f t="shared" si="1"/>
        <v>0.33056952645435039</v>
      </c>
      <c r="I60" s="14">
        <f t="shared" si="2"/>
        <v>27778.562116348032</v>
      </c>
      <c r="J60" s="14">
        <f t="shared" si="7"/>
        <v>2100.3621287886376</v>
      </c>
      <c r="K60" s="46">
        <f t="shared" si="8"/>
        <v>25678.199987559394</v>
      </c>
      <c r="L60" s="46">
        <f t="shared" si="14"/>
        <v>334388.0288581744</v>
      </c>
      <c r="M60" s="12">
        <f t="shared" si="3"/>
        <v>0.41552065486748313</v>
      </c>
      <c r="N60" s="46">
        <f t="shared" si="10"/>
        <v>9797.0786274357615</v>
      </c>
      <c r="O60" s="46">
        <f t="shared" si="11"/>
        <v>209011.92057215751</v>
      </c>
      <c r="P60" s="76">
        <f t="shared" si="12"/>
        <v>130867.92847283668</v>
      </c>
      <c r="Q60" s="17"/>
      <c r="R60" s="18"/>
    </row>
    <row r="61" spans="1:18" x14ac:dyDescent="0.3">
      <c r="A61" s="22">
        <f t="shared" si="4"/>
        <v>52232</v>
      </c>
      <c r="B61" s="49">
        <f t="shared" si="13"/>
        <v>19</v>
      </c>
      <c r="C61" s="49"/>
      <c r="D61" s="65">
        <f t="shared" si="5"/>
        <v>4000</v>
      </c>
      <c r="E61" s="65">
        <f t="shared" si="6"/>
        <v>1333</v>
      </c>
      <c r="F61" s="3"/>
      <c r="G61" s="14">
        <f t="shared" si="0"/>
        <v>2142.3693713644102</v>
      </c>
      <c r="H61" s="23">
        <f t="shared" si="1"/>
        <v>0.34048661224798094</v>
      </c>
      <c r="I61" s="14">
        <f t="shared" si="2"/>
        <v>28571.928979838474</v>
      </c>
      <c r="J61" s="14">
        <f t="shared" si="7"/>
        <v>2142.3693713644102</v>
      </c>
      <c r="K61" s="46">
        <f t="shared" si="8"/>
        <v>26429.559608474065</v>
      </c>
      <c r="L61" s="46">
        <f t="shared" si="14"/>
        <v>358675.21909528406</v>
      </c>
      <c r="M61" s="12">
        <f t="shared" si="3"/>
        <v>0.39573395701665059</v>
      </c>
      <c r="N61" s="46">
        <f t="shared" si="10"/>
        <v>9611.2658973475682</v>
      </c>
      <c r="O61" s="46">
        <f t="shared" si="11"/>
        <v>218623.18646950508</v>
      </c>
      <c r="P61" s="76">
        <f t="shared" si="12"/>
        <v>140479.19437018424</v>
      </c>
      <c r="Q61" s="17"/>
      <c r="R61" s="18"/>
    </row>
    <row r="62" spans="1:18" x14ac:dyDescent="0.3">
      <c r="A62" s="22">
        <f>IF($B62="","",(DATE(YEAR(A61)+1,MONTH(1),DAY(1))))</f>
        <v>52597</v>
      </c>
      <c r="B62" s="49">
        <f t="shared" si="13"/>
        <v>20</v>
      </c>
      <c r="C62" s="49"/>
      <c r="D62" s="65">
        <f t="shared" si="5"/>
        <v>4000</v>
      </c>
      <c r="E62" s="65">
        <f t="shared" si="6"/>
        <v>1333</v>
      </c>
      <c r="F62" s="3"/>
      <c r="G62" s="14">
        <f t="shared" si="0"/>
        <v>2185.2167587916983</v>
      </c>
      <c r="H62" s="23">
        <f t="shared" si="1"/>
        <v>0.35070121061542037</v>
      </c>
      <c r="I62" s="14">
        <f t="shared" si="2"/>
        <v>29389.096849233629</v>
      </c>
      <c r="J62" s="14">
        <f t="shared" si="7"/>
        <v>2185.2167587916983</v>
      </c>
      <c r="K62" s="46">
        <f t="shared" si="8"/>
        <v>27203.880090441929</v>
      </c>
      <c r="L62" s="46">
        <f t="shared" si="14"/>
        <v>383693.88242693426</v>
      </c>
      <c r="M62" s="12">
        <f t="shared" si="3"/>
        <v>0.37688948287300061</v>
      </c>
      <c r="N62" s="46">
        <f t="shared" si="10"/>
        <v>9429.2710852393575</v>
      </c>
      <c r="O62" s="46">
        <f t="shared" si="11"/>
        <v>228052.45755474444</v>
      </c>
      <c r="P62" s="76">
        <f t="shared" si="12"/>
        <v>149908.4654554236</v>
      </c>
      <c r="Q62" s="17"/>
      <c r="R62" s="18"/>
    </row>
    <row r="63" spans="1:18" x14ac:dyDescent="0.3">
      <c r="A63" s="22" t="str">
        <f t="shared" ref="A63:A83" si="15">IF($B63="","",(DATE(YEAR(A62)+1,MONTH(1),DAY(1))))</f>
        <v/>
      </c>
      <c r="B63" s="49" t="str">
        <f t="shared" si="13"/>
        <v/>
      </c>
      <c r="C63" s="49"/>
      <c r="D63" s="65" t="str">
        <f t="shared" si="5"/>
        <v/>
      </c>
      <c r="E63" s="65" t="str">
        <f t="shared" si="6"/>
        <v/>
      </c>
      <c r="F63" s="3"/>
      <c r="G63" s="14" t="str">
        <f t="shared" si="0"/>
        <v/>
      </c>
      <c r="H63" s="23" t="str">
        <f t="shared" si="1"/>
        <v/>
      </c>
      <c r="I63" s="14" t="str">
        <f t="shared" si="2"/>
        <v/>
      </c>
      <c r="J63" s="14" t="str">
        <f t="shared" ref="J63" si="16">G63</f>
        <v/>
      </c>
      <c r="K63" s="46" t="str">
        <f t="shared" si="8"/>
        <v/>
      </c>
      <c r="L63" s="46" t="str">
        <f t="shared" si="14"/>
        <v/>
      </c>
      <c r="M63" s="12" t="str">
        <f t="shared" si="3"/>
        <v/>
      </c>
      <c r="N63" s="46" t="str">
        <f t="shared" si="10"/>
        <v/>
      </c>
      <c r="O63" s="46" t="str">
        <f t="shared" si="11"/>
        <v/>
      </c>
      <c r="P63" s="76" t="str">
        <f t="shared" si="12"/>
        <v/>
      </c>
      <c r="Q63" s="17"/>
      <c r="R63" s="18"/>
    </row>
    <row r="64" spans="1:18" x14ac:dyDescent="0.3">
      <c r="A64" s="22" t="str">
        <f t="shared" si="15"/>
        <v/>
      </c>
      <c r="B64" s="49" t="str">
        <f t="shared" si="13"/>
        <v/>
      </c>
      <c r="C64" s="49"/>
      <c r="D64" s="65" t="str">
        <f t="shared" si="5"/>
        <v/>
      </c>
      <c r="E64" s="65" t="str">
        <f t="shared" si="6"/>
        <v/>
      </c>
      <c r="F64" s="3"/>
      <c r="G64" s="14" t="str">
        <f t="shared" si="0"/>
        <v/>
      </c>
      <c r="H64" s="23" t="str">
        <f t="shared" si="1"/>
        <v/>
      </c>
      <c r="I64" s="14" t="str">
        <f t="shared" si="2"/>
        <v/>
      </c>
      <c r="J64" s="14" t="str">
        <f t="shared" ref="J64:J82" si="17">IF($B64="","",G64)</f>
        <v/>
      </c>
      <c r="K64" s="46" t="str">
        <f t="shared" si="8"/>
        <v/>
      </c>
      <c r="L64" s="46" t="str">
        <f t="shared" si="14"/>
        <v/>
      </c>
      <c r="M64" s="12" t="str">
        <f t="shared" si="3"/>
        <v/>
      </c>
      <c r="N64" s="46" t="str">
        <f t="shared" si="10"/>
        <v/>
      </c>
      <c r="O64" s="46" t="str">
        <f t="shared" si="11"/>
        <v/>
      </c>
      <c r="P64" s="76" t="str">
        <f t="shared" si="12"/>
        <v/>
      </c>
    </row>
    <row r="65" spans="1:16" x14ac:dyDescent="0.3">
      <c r="A65" s="22" t="str">
        <f t="shared" si="15"/>
        <v/>
      </c>
      <c r="B65" s="49" t="str">
        <f t="shared" si="13"/>
        <v/>
      </c>
      <c r="C65" s="49"/>
      <c r="D65" s="65" t="str">
        <f t="shared" si="5"/>
        <v/>
      </c>
      <c r="E65" s="65" t="str">
        <f t="shared" si="6"/>
        <v/>
      </c>
      <c r="F65" s="3"/>
      <c r="G65" s="14" t="str">
        <f t="shared" si="0"/>
        <v/>
      </c>
      <c r="H65" s="23" t="str">
        <f t="shared" si="1"/>
        <v/>
      </c>
      <c r="I65" s="14" t="str">
        <f t="shared" si="2"/>
        <v/>
      </c>
      <c r="J65" s="14" t="str">
        <f t="shared" si="17"/>
        <v/>
      </c>
      <c r="K65" s="46" t="str">
        <f t="shared" si="8"/>
        <v/>
      </c>
      <c r="L65" s="46" t="str">
        <f t="shared" si="14"/>
        <v/>
      </c>
      <c r="M65" s="12" t="str">
        <f t="shared" si="3"/>
        <v/>
      </c>
      <c r="N65" s="46" t="str">
        <f t="shared" si="10"/>
        <v/>
      </c>
      <c r="O65" s="46" t="str">
        <f t="shared" si="11"/>
        <v/>
      </c>
      <c r="P65" s="76" t="str">
        <f t="shared" si="12"/>
        <v/>
      </c>
    </row>
    <row r="66" spans="1:16" x14ac:dyDescent="0.3">
      <c r="A66" s="22" t="str">
        <f t="shared" si="15"/>
        <v/>
      </c>
      <c r="B66" s="49" t="str">
        <f t="shared" si="13"/>
        <v/>
      </c>
      <c r="C66" s="49"/>
      <c r="D66" s="65" t="str">
        <f t="shared" si="5"/>
        <v/>
      </c>
      <c r="E66" s="65" t="str">
        <f t="shared" si="6"/>
        <v/>
      </c>
      <c r="F66" s="3"/>
      <c r="G66" s="14" t="str">
        <f t="shared" si="0"/>
        <v/>
      </c>
      <c r="H66" s="23" t="str">
        <f t="shared" si="1"/>
        <v/>
      </c>
      <c r="I66" s="14" t="str">
        <f t="shared" si="2"/>
        <v/>
      </c>
      <c r="J66" s="14" t="str">
        <f t="shared" si="17"/>
        <v/>
      </c>
      <c r="K66" s="46" t="str">
        <f t="shared" si="8"/>
        <v/>
      </c>
      <c r="L66" s="46" t="str">
        <f t="shared" si="14"/>
        <v/>
      </c>
      <c r="M66" s="12" t="str">
        <f t="shared" si="3"/>
        <v/>
      </c>
      <c r="N66" s="46" t="str">
        <f t="shared" si="10"/>
        <v/>
      </c>
      <c r="O66" s="46" t="str">
        <f t="shared" si="11"/>
        <v/>
      </c>
      <c r="P66" s="76" t="str">
        <f t="shared" si="12"/>
        <v/>
      </c>
    </row>
    <row r="67" spans="1:16" x14ac:dyDescent="0.3">
      <c r="A67" s="22" t="str">
        <f t="shared" si="15"/>
        <v/>
      </c>
      <c r="B67" s="49" t="str">
        <f t="shared" si="13"/>
        <v/>
      </c>
      <c r="C67" s="49"/>
      <c r="D67" s="65" t="str">
        <f t="shared" si="5"/>
        <v/>
      </c>
      <c r="E67" s="65" t="str">
        <f t="shared" si="6"/>
        <v/>
      </c>
      <c r="F67" s="3"/>
      <c r="G67" s="14" t="str">
        <f t="shared" si="0"/>
        <v/>
      </c>
      <c r="H67" s="23" t="str">
        <f t="shared" si="1"/>
        <v/>
      </c>
      <c r="I67" s="14" t="str">
        <f t="shared" si="2"/>
        <v/>
      </c>
      <c r="J67" s="14" t="str">
        <f t="shared" si="17"/>
        <v/>
      </c>
      <c r="K67" s="46" t="str">
        <f t="shared" si="8"/>
        <v/>
      </c>
      <c r="L67" s="46" t="str">
        <f t="shared" si="14"/>
        <v/>
      </c>
      <c r="M67" s="12" t="str">
        <f t="shared" si="3"/>
        <v/>
      </c>
      <c r="N67" s="46" t="str">
        <f t="shared" si="10"/>
        <v/>
      </c>
      <c r="O67" s="46" t="str">
        <f t="shared" si="11"/>
        <v/>
      </c>
      <c r="P67" s="76" t="str">
        <f t="shared" si="12"/>
        <v/>
      </c>
    </row>
    <row r="68" spans="1:16" x14ac:dyDescent="0.3">
      <c r="A68" s="22" t="str">
        <f t="shared" si="15"/>
        <v/>
      </c>
      <c r="B68" s="49" t="str">
        <f t="shared" si="13"/>
        <v/>
      </c>
      <c r="C68" s="49"/>
      <c r="D68" s="65" t="str">
        <f t="shared" si="5"/>
        <v/>
      </c>
      <c r="E68" s="65" t="str">
        <f t="shared" si="6"/>
        <v/>
      </c>
      <c r="F68" s="3"/>
      <c r="G68" s="14" t="str">
        <f t="shared" si="0"/>
        <v/>
      </c>
      <c r="H68" s="23" t="str">
        <f t="shared" si="1"/>
        <v/>
      </c>
      <c r="I68" s="14" t="str">
        <f t="shared" si="2"/>
        <v/>
      </c>
      <c r="J68" s="14" t="str">
        <f t="shared" si="17"/>
        <v/>
      </c>
      <c r="K68" s="46" t="str">
        <f t="shared" si="8"/>
        <v/>
      </c>
      <c r="L68" s="46" t="str">
        <f t="shared" si="14"/>
        <v/>
      </c>
      <c r="M68" s="12" t="str">
        <f t="shared" si="3"/>
        <v/>
      </c>
      <c r="N68" s="46" t="str">
        <f t="shared" si="10"/>
        <v/>
      </c>
      <c r="O68" s="46" t="str">
        <f t="shared" si="11"/>
        <v/>
      </c>
      <c r="P68" s="76" t="str">
        <f t="shared" si="12"/>
        <v/>
      </c>
    </row>
    <row r="69" spans="1:16" x14ac:dyDescent="0.3">
      <c r="A69" s="22" t="str">
        <f t="shared" si="15"/>
        <v/>
      </c>
      <c r="B69" s="49" t="str">
        <f t="shared" si="13"/>
        <v/>
      </c>
      <c r="C69" s="49"/>
      <c r="D69" s="65" t="str">
        <f t="shared" si="5"/>
        <v/>
      </c>
      <c r="E69" s="65" t="str">
        <f t="shared" si="6"/>
        <v/>
      </c>
      <c r="F69" s="3"/>
      <c r="G69" s="14" t="str">
        <f t="shared" si="0"/>
        <v/>
      </c>
      <c r="H69" s="23" t="str">
        <f t="shared" si="1"/>
        <v/>
      </c>
      <c r="I69" s="14" t="str">
        <f t="shared" si="2"/>
        <v/>
      </c>
      <c r="J69" s="14" t="str">
        <f t="shared" si="17"/>
        <v/>
      </c>
      <c r="K69" s="46" t="str">
        <f t="shared" si="8"/>
        <v/>
      </c>
      <c r="L69" s="46" t="str">
        <f t="shared" si="14"/>
        <v/>
      </c>
      <c r="M69" s="12" t="str">
        <f t="shared" si="3"/>
        <v/>
      </c>
      <c r="N69" s="46" t="str">
        <f t="shared" si="10"/>
        <v/>
      </c>
      <c r="O69" s="46" t="str">
        <f t="shared" si="11"/>
        <v/>
      </c>
      <c r="P69" s="76" t="str">
        <f t="shared" si="12"/>
        <v/>
      </c>
    </row>
    <row r="70" spans="1:16" x14ac:dyDescent="0.3">
      <c r="A70" s="22" t="str">
        <f t="shared" si="15"/>
        <v/>
      </c>
      <c r="B70" s="49" t="str">
        <f t="shared" si="13"/>
        <v/>
      </c>
      <c r="C70" s="49"/>
      <c r="D70" s="65" t="str">
        <f t="shared" si="5"/>
        <v/>
      </c>
      <c r="E70" s="65" t="str">
        <f t="shared" si="6"/>
        <v/>
      </c>
      <c r="F70" s="3"/>
      <c r="G70" s="14" t="str">
        <f t="shared" si="0"/>
        <v/>
      </c>
      <c r="H70" s="23" t="str">
        <f t="shared" si="1"/>
        <v/>
      </c>
      <c r="I70" s="14" t="str">
        <f t="shared" si="2"/>
        <v/>
      </c>
      <c r="J70" s="14" t="str">
        <f t="shared" si="17"/>
        <v/>
      </c>
      <c r="K70" s="46" t="str">
        <f t="shared" si="8"/>
        <v/>
      </c>
      <c r="L70" s="46" t="str">
        <f t="shared" si="14"/>
        <v/>
      </c>
      <c r="M70" s="12" t="str">
        <f t="shared" si="3"/>
        <v/>
      </c>
      <c r="N70" s="46" t="str">
        <f t="shared" si="10"/>
        <v/>
      </c>
      <c r="O70" s="46" t="str">
        <f t="shared" si="11"/>
        <v/>
      </c>
      <c r="P70" s="76" t="str">
        <f t="shared" si="12"/>
        <v/>
      </c>
    </row>
    <row r="71" spans="1:16" x14ac:dyDescent="0.3">
      <c r="A71" s="22" t="str">
        <f t="shared" si="15"/>
        <v/>
      </c>
      <c r="B71" s="49" t="str">
        <f t="shared" si="13"/>
        <v/>
      </c>
      <c r="C71" s="49"/>
      <c r="D71" s="65" t="str">
        <f t="shared" si="5"/>
        <v/>
      </c>
      <c r="E71" s="65" t="str">
        <f t="shared" si="6"/>
        <v/>
      </c>
      <c r="F71" s="3"/>
      <c r="G71" s="14" t="str">
        <f t="shared" si="0"/>
        <v/>
      </c>
      <c r="H71" s="23" t="str">
        <f t="shared" si="1"/>
        <v/>
      </c>
      <c r="I71" s="14" t="str">
        <f t="shared" si="2"/>
        <v/>
      </c>
      <c r="J71" s="14" t="str">
        <f t="shared" si="17"/>
        <v/>
      </c>
      <c r="K71" s="46" t="str">
        <f t="shared" si="8"/>
        <v/>
      </c>
      <c r="L71" s="46" t="str">
        <f t="shared" si="14"/>
        <v/>
      </c>
      <c r="M71" s="12" t="str">
        <f t="shared" si="3"/>
        <v/>
      </c>
      <c r="N71" s="46" t="str">
        <f t="shared" si="10"/>
        <v/>
      </c>
      <c r="O71" s="46" t="str">
        <f t="shared" si="11"/>
        <v/>
      </c>
      <c r="P71" s="76" t="str">
        <f t="shared" si="12"/>
        <v/>
      </c>
    </row>
    <row r="72" spans="1:16" x14ac:dyDescent="0.3">
      <c r="A72" s="22" t="str">
        <f t="shared" si="15"/>
        <v/>
      </c>
      <c r="B72" s="49" t="str">
        <f t="shared" si="13"/>
        <v/>
      </c>
      <c r="C72" s="49"/>
      <c r="D72" s="65" t="str">
        <f t="shared" si="5"/>
        <v/>
      </c>
      <c r="E72" s="65" t="str">
        <f t="shared" si="6"/>
        <v/>
      </c>
      <c r="F72" s="3"/>
      <c r="G72" s="14" t="str">
        <f t="shared" si="0"/>
        <v/>
      </c>
      <c r="H72" s="23" t="str">
        <f t="shared" si="1"/>
        <v/>
      </c>
      <c r="I72" s="14" t="str">
        <f t="shared" si="2"/>
        <v/>
      </c>
      <c r="J72" s="14" t="str">
        <f t="shared" si="17"/>
        <v/>
      </c>
      <c r="K72" s="46" t="str">
        <f t="shared" si="8"/>
        <v/>
      </c>
      <c r="L72" s="46" t="str">
        <f t="shared" si="14"/>
        <v/>
      </c>
      <c r="M72" s="12" t="str">
        <f t="shared" si="3"/>
        <v/>
      </c>
      <c r="N72" s="46" t="str">
        <f t="shared" si="10"/>
        <v/>
      </c>
      <c r="O72" s="46" t="str">
        <f t="shared" si="11"/>
        <v/>
      </c>
      <c r="P72" s="76" t="str">
        <f t="shared" si="12"/>
        <v/>
      </c>
    </row>
    <row r="73" spans="1:16" x14ac:dyDescent="0.3">
      <c r="A73" s="22" t="str">
        <f t="shared" si="15"/>
        <v/>
      </c>
      <c r="B73" s="49" t="str">
        <f t="shared" si="13"/>
        <v/>
      </c>
      <c r="C73" s="49"/>
      <c r="D73" s="65" t="str">
        <f t="shared" si="5"/>
        <v/>
      </c>
      <c r="E73" s="65" t="str">
        <f t="shared" si="6"/>
        <v/>
      </c>
      <c r="F73" s="3"/>
      <c r="G73" s="14" t="str">
        <f t="shared" si="0"/>
        <v/>
      </c>
      <c r="H73" s="23" t="str">
        <f t="shared" si="1"/>
        <v/>
      </c>
      <c r="I73" s="14" t="str">
        <f t="shared" si="2"/>
        <v/>
      </c>
      <c r="J73" s="14" t="str">
        <f t="shared" si="17"/>
        <v/>
      </c>
      <c r="K73" s="46" t="str">
        <f t="shared" si="8"/>
        <v/>
      </c>
      <c r="L73" s="46" t="str">
        <f t="shared" si="14"/>
        <v/>
      </c>
      <c r="M73" s="12" t="str">
        <f t="shared" si="3"/>
        <v/>
      </c>
      <c r="N73" s="46" t="str">
        <f t="shared" si="10"/>
        <v/>
      </c>
      <c r="O73" s="46" t="str">
        <f t="shared" si="11"/>
        <v/>
      </c>
      <c r="P73" s="76" t="str">
        <f t="shared" si="12"/>
        <v/>
      </c>
    </row>
    <row r="74" spans="1:16" x14ac:dyDescent="0.3">
      <c r="A74" s="22" t="str">
        <f t="shared" si="15"/>
        <v/>
      </c>
      <c r="B74" s="49" t="str">
        <f t="shared" si="13"/>
        <v/>
      </c>
      <c r="C74" s="49"/>
      <c r="D74" s="65" t="str">
        <f t="shared" si="5"/>
        <v/>
      </c>
      <c r="E74" s="65" t="str">
        <f t="shared" si="6"/>
        <v/>
      </c>
      <c r="F74" s="3"/>
      <c r="G74" s="14" t="str">
        <f t="shared" si="0"/>
        <v/>
      </c>
      <c r="H74" s="23" t="str">
        <f t="shared" si="1"/>
        <v/>
      </c>
      <c r="I74" s="14" t="str">
        <f t="shared" si="2"/>
        <v/>
      </c>
      <c r="J74" s="14" t="str">
        <f t="shared" si="17"/>
        <v/>
      </c>
      <c r="K74" s="46" t="str">
        <f t="shared" si="8"/>
        <v/>
      </c>
      <c r="L74" s="46" t="str">
        <f t="shared" si="14"/>
        <v/>
      </c>
      <c r="M74" s="12" t="str">
        <f t="shared" si="3"/>
        <v/>
      </c>
      <c r="N74" s="46" t="str">
        <f t="shared" si="10"/>
        <v/>
      </c>
      <c r="O74" s="46" t="str">
        <f t="shared" si="11"/>
        <v/>
      </c>
      <c r="P74" s="76" t="str">
        <f t="shared" si="12"/>
        <v/>
      </c>
    </row>
    <row r="75" spans="1:16" x14ac:dyDescent="0.3">
      <c r="A75" s="22" t="str">
        <f t="shared" si="15"/>
        <v/>
      </c>
      <c r="B75" s="49" t="str">
        <f t="shared" si="13"/>
        <v/>
      </c>
      <c r="C75" s="49"/>
      <c r="D75" s="65" t="str">
        <f t="shared" si="5"/>
        <v/>
      </c>
      <c r="E75" s="65" t="str">
        <f t="shared" si="6"/>
        <v/>
      </c>
      <c r="F75" s="3"/>
      <c r="G75" s="14" t="str">
        <f t="shared" si="0"/>
        <v/>
      </c>
      <c r="H75" s="23" t="str">
        <f t="shared" si="1"/>
        <v/>
      </c>
      <c r="I75" s="14" t="str">
        <f t="shared" si="2"/>
        <v/>
      </c>
      <c r="J75" s="14" t="str">
        <f t="shared" si="17"/>
        <v/>
      </c>
      <c r="K75" s="46" t="str">
        <f t="shared" si="8"/>
        <v/>
      </c>
      <c r="L75" s="46" t="str">
        <f t="shared" si="14"/>
        <v/>
      </c>
      <c r="M75" s="12" t="str">
        <f t="shared" si="3"/>
        <v/>
      </c>
      <c r="N75" s="46" t="str">
        <f t="shared" si="10"/>
        <v/>
      </c>
      <c r="O75" s="46" t="str">
        <f t="shared" si="11"/>
        <v/>
      </c>
      <c r="P75" s="76" t="str">
        <f t="shared" si="12"/>
        <v/>
      </c>
    </row>
    <row r="76" spans="1:16" x14ac:dyDescent="0.3">
      <c r="A76" s="22" t="str">
        <f t="shared" si="15"/>
        <v/>
      </c>
      <c r="B76" s="49" t="str">
        <f t="shared" si="13"/>
        <v/>
      </c>
      <c r="C76" s="49"/>
      <c r="D76" s="65" t="str">
        <f t="shared" si="5"/>
        <v/>
      </c>
      <c r="E76" s="65" t="str">
        <f t="shared" si="6"/>
        <v/>
      </c>
      <c r="F76" s="3"/>
      <c r="G76" s="14" t="str">
        <f t="shared" ref="G76:G93" si="18">IF($B76="","",G75*(1+C$21))</f>
        <v/>
      </c>
      <c r="H76" s="23" t="str">
        <f t="shared" ref="H76:H93" si="19">IF($B76="","",H75*(1+C$20))</f>
        <v/>
      </c>
      <c r="I76" s="14" t="str">
        <f t="shared" ref="I76:I93" si="20">IF($B76="","",$C$18*$H76+$E76)</f>
        <v/>
      </c>
      <c r="J76" s="14" t="str">
        <f t="shared" si="17"/>
        <v/>
      </c>
      <c r="K76" s="46" t="str">
        <f t="shared" si="8"/>
        <v/>
      </c>
      <c r="L76" s="46" t="str">
        <f t="shared" si="14"/>
        <v/>
      </c>
      <c r="M76" s="12" t="str">
        <f t="shared" ref="M76:M93" si="21">IF($B76="","",1/(1+C$16)^(B76))</f>
        <v/>
      </c>
      <c r="N76" s="46" t="str">
        <f t="shared" si="10"/>
        <v/>
      </c>
      <c r="O76" s="46" t="str">
        <f t="shared" si="11"/>
        <v/>
      </c>
      <c r="P76" s="76" t="str">
        <f t="shared" si="12"/>
        <v/>
      </c>
    </row>
    <row r="77" spans="1:16" x14ac:dyDescent="0.3">
      <c r="A77" s="22" t="str">
        <f t="shared" si="15"/>
        <v/>
      </c>
      <c r="B77" s="49" t="str">
        <f t="shared" si="13"/>
        <v/>
      </c>
      <c r="C77" s="49"/>
      <c r="D77" s="65" t="str">
        <f t="shared" si="5"/>
        <v/>
      </c>
      <c r="E77" s="65" t="str">
        <f t="shared" si="6"/>
        <v/>
      </c>
      <c r="F77" s="3"/>
      <c r="G77" s="14" t="str">
        <f t="shared" si="18"/>
        <v/>
      </c>
      <c r="H77" s="23" t="str">
        <f t="shared" si="19"/>
        <v/>
      </c>
      <c r="I77" s="14" t="str">
        <f t="shared" si="20"/>
        <v/>
      </c>
      <c r="J77" s="14" t="str">
        <f t="shared" si="17"/>
        <v/>
      </c>
      <c r="K77" s="46" t="str">
        <f t="shared" si="8"/>
        <v/>
      </c>
      <c r="L77" s="46" t="str">
        <f t="shared" si="14"/>
        <v/>
      </c>
      <c r="M77" s="12" t="str">
        <f t="shared" si="21"/>
        <v/>
      </c>
      <c r="N77" s="46" t="str">
        <f t="shared" si="10"/>
        <v/>
      </c>
      <c r="O77" s="46" t="str">
        <f t="shared" si="11"/>
        <v/>
      </c>
      <c r="P77" s="76" t="str">
        <f t="shared" si="12"/>
        <v/>
      </c>
    </row>
    <row r="78" spans="1:16" x14ac:dyDescent="0.3">
      <c r="A78" s="22" t="str">
        <f t="shared" si="15"/>
        <v/>
      </c>
      <c r="B78" s="49" t="str">
        <f t="shared" si="13"/>
        <v/>
      </c>
      <c r="C78" s="49"/>
      <c r="D78" s="65" t="str">
        <f t="shared" si="5"/>
        <v/>
      </c>
      <c r="E78" s="65" t="str">
        <f t="shared" si="6"/>
        <v/>
      </c>
      <c r="F78" s="3"/>
      <c r="G78" s="14" t="str">
        <f t="shared" si="18"/>
        <v/>
      </c>
      <c r="H78" s="23" t="str">
        <f t="shared" si="19"/>
        <v/>
      </c>
      <c r="I78" s="14" t="str">
        <f t="shared" si="20"/>
        <v/>
      </c>
      <c r="J78" s="14" t="str">
        <f t="shared" si="17"/>
        <v/>
      </c>
      <c r="K78" s="46" t="str">
        <f t="shared" si="8"/>
        <v/>
      </c>
      <c r="L78" s="46" t="str">
        <f t="shared" si="14"/>
        <v/>
      </c>
      <c r="M78" s="12" t="str">
        <f t="shared" si="21"/>
        <v/>
      </c>
      <c r="N78" s="46" t="str">
        <f t="shared" si="10"/>
        <v/>
      </c>
      <c r="O78" s="46" t="str">
        <f t="shared" si="11"/>
        <v/>
      </c>
      <c r="P78" s="76" t="str">
        <f t="shared" si="12"/>
        <v/>
      </c>
    </row>
    <row r="79" spans="1:16" x14ac:dyDescent="0.3">
      <c r="A79" s="22" t="str">
        <f t="shared" si="15"/>
        <v/>
      </c>
      <c r="B79" s="49" t="str">
        <f t="shared" si="13"/>
        <v/>
      </c>
      <c r="C79" s="49"/>
      <c r="D79" s="65" t="str">
        <f t="shared" si="5"/>
        <v/>
      </c>
      <c r="E79" s="65" t="str">
        <f t="shared" si="6"/>
        <v/>
      </c>
      <c r="F79" s="3"/>
      <c r="G79" s="14" t="str">
        <f t="shared" si="18"/>
        <v/>
      </c>
      <c r="H79" s="23" t="str">
        <f t="shared" si="19"/>
        <v/>
      </c>
      <c r="I79" s="14" t="str">
        <f t="shared" si="20"/>
        <v/>
      </c>
      <c r="J79" s="14" t="str">
        <f t="shared" si="17"/>
        <v/>
      </c>
      <c r="K79" s="46" t="str">
        <f t="shared" si="8"/>
        <v/>
      </c>
      <c r="L79" s="46" t="str">
        <f t="shared" si="14"/>
        <v/>
      </c>
      <c r="M79" s="12" t="str">
        <f t="shared" si="21"/>
        <v/>
      </c>
      <c r="N79" s="46" t="str">
        <f t="shared" si="10"/>
        <v/>
      </c>
      <c r="O79" s="46" t="str">
        <f t="shared" si="11"/>
        <v/>
      </c>
      <c r="P79" s="76" t="str">
        <f t="shared" si="12"/>
        <v/>
      </c>
    </row>
    <row r="80" spans="1:16" x14ac:dyDescent="0.3">
      <c r="A80" s="22" t="str">
        <f t="shared" si="15"/>
        <v/>
      </c>
      <c r="B80" s="49" t="str">
        <f t="shared" si="13"/>
        <v/>
      </c>
      <c r="C80" s="49"/>
      <c r="D80" s="65" t="str">
        <f t="shared" si="5"/>
        <v/>
      </c>
      <c r="E80" s="65" t="str">
        <f t="shared" si="6"/>
        <v/>
      </c>
      <c r="F80" s="3"/>
      <c r="G80" s="14" t="str">
        <f t="shared" si="18"/>
        <v/>
      </c>
      <c r="H80" s="23" t="str">
        <f t="shared" si="19"/>
        <v/>
      </c>
      <c r="I80" s="14" t="str">
        <f t="shared" si="20"/>
        <v/>
      </c>
      <c r="J80" s="14" t="str">
        <f t="shared" si="17"/>
        <v/>
      </c>
      <c r="K80" s="46" t="str">
        <f t="shared" si="8"/>
        <v/>
      </c>
      <c r="L80" s="46" t="str">
        <f t="shared" si="14"/>
        <v/>
      </c>
      <c r="M80" s="12" t="str">
        <f t="shared" si="21"/>
        <v/>
      </c>
      <c r="N80" s="46" t="str">
        <f t="shared" si="10"/>
        <v/>
      </c>
      <c r="O80" s="46" t="str">
        <f t="shared" si="11"/>
        <v/>
      </c>
      <c r="P80" s="76" t="str">
        <f t="shared" si="12"/>
        <v/>
      </c>
    </row>
    <row r="81" spans="1:16" x14ac:dyDescent="0.3">
      <c r="A81" s="22" t="str">
        <f t="shared" si="15"/>
        <v/>
      </c>
      <c r="B81" s="49" t="str">
        <f t="shared" si="13"/>
        <v/>
      </c>
      <c r="C81" s="49"/>
      <c r="D81" s="65" t="str">
        <f t="shared" si="5"/>
        <v/>
      </c>
      <c r="E81" s="65" t="str">
        <f t="shared" si="6"/>
        <v/>
      </c>
      <c r="F81" s="3"/>
      <c r="G81" s="14" t="str">
        <f t="shared" si="18"/>
        <v/>
      </c>
      <c r="H81" s="23" t="str">
        <f t="shared" si="19"/>
        <v/>
      </c>
      <c r="I81" s="14" t="str">
        <f t="shared" si="20"/>
        <v/>
      </c>
      <c r="J81" s="14" t="str">
        <f t="shared" si="17"/>
        <v/>
      </c>
      <c r="K81" s="46" t="str">
        <f t="shared" si="8"/>
        <v/>
      </c>
      <c r="L81" s="46" t="str">
        <f t="shared" si="14"/>
        <v/>
      </c>
      <c r="M81" s="12" t="str">
        <f t="shared" si="21"/>
        <v/>
      </c>
      <c r="N81" s="46" t="str">
        <f t="shared" si="10"/>
        <v/>
      </c>
      <c r="O81" s="46" t="str">
        <f t="shared" si="11"/>
        <v/>
      </c>
      <c r="P81" s="76" t="str">
        <f>IF($B81="","",P80+N81)</f>
        <v/>
      </c>
    </row>
    <row r="82" spans="1:16" x14ac:dyDescent="0.3">
      <c r="A82" s="22" t="str">
        <f t="shared" si="15"/>
        <v/>
      </c>
      <c r="B82" s="49" t="str">
        <f t="shared" si="13"/>
        <v/>
      </c>
      <c r="C82" s="49"/>
      <c r="D82" s="65" t="str">
        <f t="shared" si="5"/>
        <v/>
      </c>
      <c r="E82" s="65" t="str">
        <f t="shared" si="6"/>
        <v/>
      </c>
      <c r="F82" s="3"/>
      <c r="G82" s="14" t="str">
        <f t="shared" si="18"/>
        <v/>
      </c>
      <c r="H82" s="23" t="str">
        <f t="shared" si="19"/>
        <v/>
      </c>
      <c r="I82" s="14" t="str">
        <f t="shared" si="20"/>
        <v/>
      </c>
      <c r="J82" s="14" t="str">
        <f t="shared" si="17"/>
        <v/>
      </c>
      <c r="K82" s="46" t="str">
        <f t="shared" si="8"/>
        <v/>
      </c>
      <c r="L82" s="46" t="str">
        <f t="shared" si="14"/>
        <v/>
      </c>
      <c r="M82" s="12" t="str">
        <f t="shared" si="21"/>
        <v/>
      </c>
      <c r="N82" s="46" t="str">
        <f t="shared" si="10"/>
        <v/>
      </c>
      <c r="O82" s="46" t="str">
        <f t="shared" si="11"/>
        <v/>
      </c>
      <c r="P82" s="76" t="str">
        <f>IF($B82="","",P81+N82)</f>
        <v/>
      </c>
    </row>
    <row r="83" spans="1:16" x14ac:dyDescent="0.3">
      <c r="A83" s="22" t="str">
        <f t="shared" si="15"/>
        <v/>
      </c>
      <c r="B83" s="49" t="str">
        <f t="shared" si="13"/>
        <v/>
      </c>
      <c r="C83" s="49"/>
      <c r="D83" s="65" t="str">
        <f t="shared" si="5"/>
        <v/>
      </c>
      <c r="E83" s="65" t="str">
        <f t="shared" si="6"/>
        <v/>
      </c>
      <c r="F83" s="3"/>
      <c r="G83" s="14" t="str">
        <f t="shared" si="18"/>
        <v/>
      </c>
      <c r="H83" s="23" t="str">
        <f t="shared" si="19"/>
        <v/>
      </c>
      <c r="I83" s="14" t="str">
        <f t="shared" si="20"/>
        <v/>
      </c>
      <c r="J83" s="14" t="str">
        <f t="shared" ref="J83" si="22">G83</f>
        <v/>
      </c>
      <c r="K83" s="46" t="str">
        <f t="shared" si="8"/>
        <v/>
      </c>
      <c r="L83" s="46" t="str">
        <f t="shared" si="14"/>
        <v/>
      </c>
      <c r="M83" s="12" t="str">
        <f t="shared" si="21"/>
        <v/>
      </c>
      <c r="N83" s="46" t="str">
        <f t="shared" si="10"/>
        <v/>
      </c>
      <c r="O83" s="46" t="str">
        <f t="shared" si="11"/>
        <v/>
      </c>
      <c r="P83" s="76" t="str">
        <f t="shared" ref="P83:P93" si="23">IF($B83="","",P82+N83)</f>
        <v/>
      </c>
    </row>
    <row r="84" spans="1:16" x14ac:dyDescent="0.3">
      <c r="A84" s="22" t="str">
        <f t="shared" ref="A84:A93" si="24">IF($B84="","",(DATE(YEAR(A83)+1,MONTH(1),DAY(1))))</f>
        <v/>
      </c>
      <c r="B84" s="49" t="str">
        <f t="shared" si="13"/>
        <v/>
      </c>
      <c r="C84" s="49"/>
      <c r="D84" s="65" t="str">
        <f t="shared" si="5"/>
        <v/>
      </c>
      <c r="E84" s="65" t="str">
        <f t="shared" si="6"/>
        <v/>
      </c>
      <c r="F84" s="3"/>
      <c r="G84" s="14" t="str">
        <f t="shared" si="18"/>
        <v/>
      </c>
      <c r="H84" s="23" t="str">
        <f t="shared" si="19"/>
        <v/>
      </c>
      <c r="I84" s="14" t="str">
        <f t="shared" si="20"/>
        <v/>
      </c>
      <c r="J84" s="14" t="str">
        <f>G84</f>
        <v/>
      </c>
      <c r="K84" s="46" t="str">
        <f t="shared" si="8"/>
        <v/>
      </c>
      <c r="L84" s="46" t="str">
        <f t="shared" si="14"/>
        <v/>
      </c>
      <c r="M84" s="12" t="str">
        <f t="shared" si="21"/>
        <v/>
      </c>
      <c r="N84" s="46" t="str">
        <f t="shared" si="10"/>
        <v/>
      </c>
      <c r="O84" s="46" t="str">
        <f t="shared" si="11"/>
        <v/>
      </c>
      <c r="P84" s="76" t="str">
        <f t="shared" si="23"/>
        <v/>
      </c>
    </row>
    <row r="85" spans="1:16" x14ac:dyDescent="0.3">
      <c r="A85" s="22" t="str">
        <f t="shared" si="24"/>
        <v/>
      </c>
      <c r="B85" s="49" t="str">
        <f t="shared" si="13"/>
        <v/>
      </c>
      <c r="C85" s="49"/>
      <c r="D85" s="65" t="str">
        <f t="shared" si="5"/>
        <v/>
      </c>
      <c r="E85" s="65" t="str">
        <f t="shared" si="6"/>
        <v/>
      </c>
      <c r="F85" s="3"/>
      <c r="G85" s="14" t="str">
        <f t="shared" si="18"/>
        <v/>
      </c>
      <c r="H85" s="23" t="str">
        <f t="shared" si="19"/>
        <v/>
      </c>
      <c r="I85" s="14" t="str">
        <f t="shared" si="20"/>
        <v/>
      </c>
      <c r="J85" s="14" t="str">
        <f>IF($B85="","",G85)</f>
        <v/>
      </c>
      <c r="K85" s="46" t="str">
        <f t="shared" si="8"/>
        <v/>
      </c>
      <c r="L85" s="46" t="str">
        <f t="shared" si="14"/>
        <v/>
      </c>
      <c r="M85" s="12" t="str">
        <f t="shared" si="21"/>
        <v/>
      </c>
      <c r="N85" s="46" t="str">
        <f t="shared" si="10"/>
        <v/>
      </c>
      <c r="O85" s="46" t="str">
        <f t="shared" si="11"/>
        <v/>
      </c>
      <c r="P85" s="76" t="str">
        <f t="shared" si="23"/>
        <v/>
      </c>
    </row>
    <row r="86" spans="1:16" x14ac:dyDescent="0.3">
      <c r="A86" s="22" t="str">
        <f t="shared" si="24"/>
        <v/>
      </c>
      <c r="B86" s="49" t="str">
        <f t="shared" si="13"/>
        <v/>
      </c>
      <c r="C86" s="49"/>
      <c r="D86" s="65" t="str">
        <f t="shared" si="5"/>
        <v/>
      </c>
      <c r="E86" s="65" t="str">
        <f t="shared" si="6"/>
        <v/>
      </c>
      <c r="F86" s="3"/>
      <c r="G86" s="14" t="str">
        <f t="shared" si="18"/>
        <v/>
      </c>
      <c r="H86" s="23" t="str">
        <f t="shared" si="19"/>
        <v/>
      </c>
      <c r="I86" s="14" t="str">
        <f t="shared" si="20"/>
        <v/>
      </c>
      <c r="J86" s="14" t="str">
        <f>IF($B86="","",G86)</f>
        <v/>
      </c>
      <c r="K86" s="46" t="str">
        <f t="shared" si="8"/>
        <v/>
      </c>
      <c r="L86" s="46" t="str">
        <f t="shared" si="14"/>
        <v/>
      </c>
      <c r="M86" s="12" t="str">
        <f t="shared" si="21"/>
        <v/>
      </c>
      <c r="N86" s="46" t="str">
        <f t="shared" si="10"/>
        <v/>
      </c>
      <c r="O86" s="46" t="str">
        <f t="shared" si="11"/>
        <v/>
      </c>
      <c r="P86" s="76" t="str">
        <f t="shared" si="23"/>
        <v/>
      </c>
    </row>
    <row r="87" spans="1:16" x14ac:dyDescent="0.3">
      <c r="A87" s="22" t="str">
        <f t="shared" si="24"/>
        <v/>
      </c>
      <c r="B87" s="49" t="str">
        <f t="shared" si="13"/>
        <v/>
      </c>
      <c r="C87" s="49"/>
      <c r="D87" s="65" t="str">
        <f t="shared" si="5"/>
        <v/>
      </c>
      <c r="E87" s="65" t="str">
        <f t="shared" si="6"/>
        <v/>
      </c>
      <c r="F87" s="3"/>
      <c r="G87" s="14" t="str">
        <f t="shared" si="18"/>
        <v/>
      </c>
      <c r="H87" s="23" t="str">
        <f t="shared" si="19"/>
        <v/>
      </c>
      <c r="I87" s="14" t="str">
        <f t="shared" si="20"/>
        <v/>
      </c>
      <c r="J87" s="14" t="str">
        <f t="shared" ref="J87:J93" si="25">IF($B87="","",G87)</f>
        <v/>
      </c>
      <c r="K87" s="46" t="str">
        <f t="shared" si="8"/>
        <v/>
      </c>
      <c r="L87" s="46" t="str">
        <f t="shared" si="14"/>
        <v/>
      </c>
      <c r="M87" s="12" t="str">
        <f t="shared" si="21"/>
        <v/>
      </c>
      <c r="N87" s="46" t="str">
        <f>IF($B87="","",(K87-J87)*M87)</f>
        <v/>
      </c>
      <c r="O87" s="46" t="str">
        <f t="shared" si="11"/>
        <v/>
      </c>
      <c r="P87" s="76" t="str">
        <f t="shared" si="23"/>
        <v/>
      </c>
    </row>
    <row r="88" spans="1:16" x14ac:dyDescent="0.3">
      <c r="A88" s="22" t="str">
        <f t="shared" si="24"/>
        <v/>
      </c>
      <c r="B88" s="49" t="str">
        <f t="shared" si="13"/>
        <v/>
      </c>
      <c r="C88" s="49"/>
      <c r="D88" s="65" t="str">
        <f t="shared" si="5"/>
        <v/>
      </c>
      <c r="E88" s="65" t="str">
        <f t="shared" si="6"/>
        <v/>
      </c>
      <c r="F88" s="3"/>
      <c r="G88" s="14" t="str">
        <f t="shared" si="18"/>
        <v/>
      </c>
      <c r="H88" s="23" t="str">
        <f t="shared" si="19"/>
        <v/>
      </c>
      <c r="I88" s="14" t="str">
        <f t="shared" si="20"/>
        <v/>
      </c>
      <c r="J88" s="14" t="str">
        <f t="shared" si="25"/>
        <v/>
      </c>
      <c r="K88" s="46" t="str">
        <f>IF($B88="","",I88-G88)</f>
        <v/>
      </c>
      <c r="L88" s="46" t="str">
        <f t="shared" si="14"/>
        <v/>
      </c>
      <c r="M88" s="12" t="str">
        <f t="shared" si="21"/>
        <v/>
      </c>
      <c r="N88" s="46" t="str">
        <f>IF($B88="","",(K88-J88)*M88)</f>
        <v/>
      </c>
      <c r="O88" s="46" t="str">
        <f t="shared" si="11"/>
        <v/>
      </c>
      <c r="P88" s="76" t="str">
        <f t="shared" si="23"/>
        <v/>
      </c>
    </row>
    <row r="89" spans="1:16" x14ac:dyDescent="0.3">
      <c r="A89" s="22" t="str">
        <f t="shared" si="24"/>
        <v/>
      </c>
      <c r="B89" s="49" t="str">
        <f t="shared" si="13"/>
        <v/>
      </c>
      <c r="C89" s="49"/>
      <c r="D89" s="65" t="str">
        <f t="shared" si="5"/>
        <v/>
      </c>
      <c r="E89" s="65" t="str">
        <f t="shared" si="6"/>
        <v/>
      </c>
      <c r="F89" s="3"/>
      <c r="G89" s="14" t="str">
        <f t="shared" si="18"/>
        <v/>
      </c>
      <c r="H89" s="23" t="str">
        <f t="shared" si="19"/>
        <v/>
      </c>
      <c r="I89" s="14" t="str">
        <f t="shared" si="20"/>
        <v/>
      </c>
      <c r="J89" s="14" t="str">
        <f t="shared" si="25"/>
        <v/>
      </c>
      <c r="K89" s="46" t="str">
        <f>IF($B89="","",I89-G89)</f>
        <v/>
      </c>
      <c r="L89" s="46" t="str">
        <f t="shared" si="14"/>
        <v/>
      </c>
      <c r="M89" s="12" t="str">
        <f t="shared" si="21"/>
        <v/>
      </c>
      <c r="N89" s="46" t="str">
        <f t="shared" ref="N89:N93" si="26">IF($B89="","",(K89-J89)*M89)</f>
        <v/>
      </c>
      <c r="O89" s="46" t="str">
        <f t="shared" si="11"/>
        <v/>
      </c>
      <c r="P89" s="76" t="str">
        <f t="shared" si="23"/>
        <v/>
      </c>
    </row>
    <row r="90" spans="1:16" x14ac:dyDescent="0.3">
      <c r="A90" s="22" t="str">
        <f t="shared" si="24"/>
        <v/>
      </c>
      <c r="B90" s="49" t="str">
        <f t="shared" si="13"/>
        <v/>
      </c>
      <c r="C90" s="49"/>
      <c r="D90" s="65" t="str">
        <f t="shared" si="5"/>
        <v/>
      </c>
      <c r="E90" s="65" t="str">
        <f t="shared" si="6"/>
        <v/>
      </c>
      <c r="F90" s="3"/>
      <c r="G90" s="14" t="str">
        <f t="shared" si="18"/>
        <v/>
      </c>
      <c r="H90" s="23" t="str">
        <f t="shared" si="19"/>
        <v/>
      </c>
      <c r="I90" s="14" t="str">
        <f t="shared" si="20"/>
        <v/>
      </c>
      <c r="J90" s="14" t="str">
        <f t="shared" si="25"/>
        <v/>
      </c>
      <c r="K90" s="46" t="str">
        <f t="shared" ref="K90:K93" si="27">IF($B90="","",I90-G90)</f>
        <v/>
      </c>
      <c r="L90" s="46" t="str">
        <f t="shared" si="14"/>
        <v/>
      </c>
      <c r="M90" s="12" t="str">
        <f t="shared" si="21"/>
        <v/>
      </c>
      <c r="N90" s="46" t="str">
        <f t="shared" si="26"/>
        <v/>
      </c>
      <c r="O90" s="46" t="str">
        <f t="shared" si="11"/>
        <v/>
      </c>
      <c r="P90" s="76" t="str">
        <f t="shared" si="23"/>
        <v/>
      </c>
    </row>
    <row r="91" spans="1:16" x14ac:dyDescent="0.3">
      <c r="A91" s="22" t="str">
        <f t="shared" si="24"/>
        <v/>
      </c>
      <c r="B91" s="49" t="str">
        <f t="shared" si="13"/>
        <v/>
      </c>
      <c r="C91" s="49"/>
      <c r="D91" s="65" t="str">
        <f t="shared" si="5"/>
        <v/>
      </c>
      <c r="E91" s="65" t="str">
        <f t="shared" si="6"/>
        <v/>
      </c>
      <c r="F91" s="3"/>
      <c r="G91" s="14" t="str">
        <f t="shared" si="18"/>
        <v/>
      </c>
      <c r="H91" s="23" t="str">
        <f t="shared" si="19"/>
        <v/>
      </c>
      <c r="I91" s="14" t="str">
        <f t="shared" si="20"/>
        <v/>
      </c>
      <c r="J91" s="14" t="str">
        <f t="shared" si="25"/>
        <v/>
      </c>
      <c r="K91" s="46" t="str">
        <f t="shared" si="27"/>
        <v/>
      </c>
      <c r="L91" s="46" t="str">
        <f t="shared" si="14"/>
        <v/>
      </c>
      <c r="M91" s="12" t="str">
        <f t="shared" si="21"/>
        <v/>
      </c>
      <c r="N91" s="46" t="str">
        <f t="shared" si="26"/>
        <v/>
      </c>
      <c r="O91" s="46" t="str">
        <f t="shared" si="11"/>
        <v/>
      </c>
      <c r="P91" s="76" t="str">
        <f t="shared" si="23"/>
        <v/>
      </c>
    </row>
    <row r="92" spans="1:16" x14ac:dyDescent="0.3">
      <c r="A92" s="22" t="str">
        <f t="shared" si="24"/>
        <v/>
      </c>
      <c r="B92" s="49" t="str">
        <f t="shared" si="13"/>
        <v/>
      </c>
      <c r="C92" s="49"/>
      <c r="D92" s="65" t="str">
        <f t="shared" si="5"/>
        <v/>
      </c>
      <c r="E92" s="65" t="str">
        <f t="shared" si="6"/>
        <v/>
      </c>
      <c r="F92" s="3"/>
      <c r="G92" s="14" t="str">
        <f t="shared" si="18"/>
        <v/>
      </c>
      <c r="H92" s="23" t="str">
        <f t="shared" si="19"/>
        <v/>
      </c>
      <c r="I92" s="14" t="str">
        <f t="shared" si="20"/>
        <v/>
      </c>
      <c r="J92" s="14" t="str">
        <f t="shared" si="25"/>
        <v/>
      </c>
      <c r="K92" s="46" t="str">
        <f t="shared" si="27"/>
        <v/>
      </c>
      <c r="L92" s="46" t="str">
        <f t="shared" si="14"/>
        <v/>
      </c>
      <c r="M92" s="12" t="str">
        <f t="shared" si="21"/>
        <v/>
      </c>
      <c r="N92" s="46" t="str">
        <f t="shared" si="26"/>
        <v/>
      </c>
      <c r="O92" s="46" t="str">
        <f t="shared" si="11"/>
        <v/>
      </c>
      <c r="P92" s="76" t="str">
        <f t="shared" si="23"/>
        <v/>
      </c>
    </row>
    <row r="93" spans="1:16" x14ac:dyDescent="0.3">
      <c r="A93" s="22" t="str">
        <f t="shared" si="24"/>
        <v/>
      </c>
      <c r="B93" s="49" t="str">
        <f t="shared" si="13"/>
        <v/>
      </c>
      <c r="C93" s="49"/>
      <c r="D93" s="65" t="str">
        <f t="shared" si="5"/>
        <v/>
      </c>
      <c r="E93" s="65" t="str">
        <f t="shared" si="6"/>
        <v/>
      </c>
      <c r="F93" s="3"/>
      <c r="G93" s="14" t="str">
        <f t="shared" si="18"/>
        <v/>
      </c>
      <c r="H93" s="23" t="str">
        <f t="shared" si="19"/>
        <v/>
      </c>
      <c r="I93" s="14" t="str">
        <f t="shared" si="20"/>
        <v/>
      </c>
      <c r="J93" s="14" t="str">
        <f t="shared" si="25"/>
        <v/>
      </c>
      <c r="K93" s="46" t="str">
        <f t="shared" si="27"/>
        <v/>
      </c>
      <c r="L93" s="46" t="str">
        <f t="shared" si="14"/>
        <v/>
      </c>
      <c r="M93" s="12" t="str">
        <f t="shared" si="21"/>
        <v/>
      </c>
      <c r="N93" s="46" t="str">
        <f t="shared" si="26"/>
        <v/>
      </c>
      <c r="O93" s="46" t="str">
        <f t="shared" si="11"/>
        <v/>
      </c>
      <c r="P93" s="76" t="str">
        <f t="shared" si="23"/>
        <v/>
      </c>
    </row>
  </sheetData>
  <mergeCells count="35">
    <mergeCell ref="G31:K31"/>
    <mergeCell ref="A35:C35"/>
    <mergeCell ref="A42:C42"/>
    <mergeCell ref="A21:B21"/>
    <mergeCell ref="A23:B23"/>
    <mergeCell ref="A24:B24"/>
    <mergeCell ref="A25:B25"/>
    <mergeCell ref="A31:C31"/>
    <mergeCell ref="D31:F31"/>
    <mergeCell ref="A30:P30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6:B6"/>
    <mergeCell ref="F6:G6"/>
    <mergeCell ref="A7:B7"/>
    <mergeCell ref="F7:G7"/>
    <mergeCell ref="A8:B8"/>
    <mergeCell ref="C8:D8"/>
    <mergeCell ref="F8:G8"/>
    <mergeCell ref="F5:G5"/>
    <mergeCell ref="A1:D1"/>
    <mergeCell ref="C2:D2"/>
    <mergeCell ref="A3:B3"/>
    <mergeCell ref="A4:B4"/>
    <mergeCell ref="A5:B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ED5FD-0E81-44A2-9C79-B050F1EDE2F0}">
  <dimension ref="A1:X93"/>
  <sheetViews>
    <sheetView topLeftCell="A62" zoomScale="25" zoomScaleNormal="80" workbookViewId="0">
      <selection activeCell="J14" sqref="J14"/>
    </sheetView>
  </sheetViews>
  <sheetFormatPr baseColWidth="10" defaultColWidth="8.6640625" defaultRowHeight="14.4" x14ac:dyDescent="0.3"/>
  <cols>
    <col min="1" max="5" width="20.6640625" customWidth="1"/>
    <col min="6" max="6" width="25" customWidth="1"/>
    <col min="7" max="7" width="29.109375" customWidth="1"/>
    <col min="8" max="17" width="20.6640625" customWidth="1"/>
    <col min="18" max="18" width="23.6640625" customWidth="1"/>
    <col min="19" max="19" width="20.6640625" customWidth="1"/>
    <col min="20" max="20" width="19.33203125" customWidth="1"/>
    <col min="21" max="21" width="12.109375" bestFit="1" customWidth="1"/>
    <col min="22" max="22" width="14.33203125" customWidth="1"/>
  </cols>
  <sheetData>
    <row r="1" spans="1:12" x14ac:dyDescent="0.3">
      <c r="A1" s="124" t="s">
        <v>8</v>
      </c>
      <c r="B1" s="125"/>
      <c r="C1" s="125"/>
      <c r="D1" s="126"/>
    </row>
    <row r="2" spans="1:12" x14ac:dyDescent="0.3">
      <c r="C2" s="109" t="s">
        <v>56</v>
      </c>
      <c r="D2" s="110"/>
      <c r="E2" s="28"/>
      <c r="F2" s="28"/>
    </row>
    <row r="3" spans="1:12" x14ac:dyDescent="0.3">
      <c r="A3" s="107"/>
      <c r="B3" s="107"/>
      <c r="C3" s="4" t="s">
        <v>0</v>
      </c>
      <c r="D3" s="4" t="s">
        <v>15</v>
      </c>
      <c r="E3" s="21"/>
    </row>
    <row r="4" spans="1:12" x14ac:dyDescent="0.3">
      <c r="A4" s="107" t="s">
        <v>14</v>
      </c>
      <c r="B4" s="107"/>
      <c r="C4" s="11">
        <v>10000</v>
      </c>
      <c r="D4" s="10">
        <v>45627</v>
      </c>
      <c r="E4" s="21"/>
    </row>
    <row r="5" spans="1:12" x14ac:dyDescent="0.3">
      <c r="A5" s="107" t="s">
        <v>16</v>
      </c>
      <c r="B5" s="107"/>
      <c r="C5" s="11">
        <v>30000</v>
      </c>
      <c r="D5" s="10">
        <v>45717</v>
      </c>
      <c r="E5" s="21"/>
      <c r="F5" s="109" t="s">
        <v>13</v>
      </c>
      <c r="G5" s="110"/>
      <c r="H5" s="28"/>
      <c r="I5" s="28"/>
      <c r="J5" s="28"/>
      <c r="K5" s="28"/>
    </row>
    <row r="6" spans="1:12" x14ac:dyDescent="0.3">
      <c r="A6" s="107" t="s">
        <v>17</v>
      </c>
      <c r="B6" s="107"/>
      <c r="C6" s="11">
        <v>30000</v>
      </c>
      <c r="D6" s="10">
        <v>45960</v>
      </c>
      <c r="E6" s="21"/>
      <c r="F6" s="108" t="s">
        <v>58</v>
      </c>
      <c r="G6" s="108"/>
      <c r="H6" s="102">
        <f>NPV(C16,L43:L63)-G33-C33</f>
        <v>96529.766509963898</v>
      </c>
      <c r="I6" s="71"/>
      <c r="J6" s="71"/>
      <c r="K6" s="71"/>
      <c r="L6" s="72" t="s">
        <v>33</v>
      </c>
    </row>
    <row r="7" spans="1:12" x14ac:dyDescent="0.3">
      <c r="A7" s="129" t="s">
        <v>18</v>
      </c>
      <c r="B7" s="129"/>
      <c r="C7" s="91">
        <v>10000</v>
      </c>
      <c r="D7" s="92">
        <v>46022</v>
      </c>
      <c r="F7" s="108" t="s">
        <v>25</v>
      </c>
      <c r="G7" s="108"/>
      <c r="H7" s="103">
        <f>(((M62-C33))/SUM(K43:K62))/C14</f>
        <v>0.46621310737828636</v>
      </c>
      <c r="I7" s="73"/>
      <c r="J7" s="73"/>
      <c r="K7" s="73"/>
    </row>
    <row r="8" spans="1:12" x14ac:dyDescent="0.3">
      <c r="A8" s="130"/>
      <c r="B8" s="130"/>
      <c r="C8" s="131"/>
      <c r="D8" s="131"/>
      <c r="F8" s="108" t="s">
        <v>31</v>
      </c>
      <c r="G8" s="108"/>
      <c r="H8" s="104" t="str" cm="1">
        <f t="array" ref="H8">_xlfn.IFNA(CONCATENATE("nach ",(INDEX(B43:B63,MATCH(1,(Q43:Q63&gt;0)*1,0)))," Jahren"),"NACH LAUFZEIT")</f>
        <v>nach 6 Jahren</v>
      </c>
      <c r="I8" s="74"/>
      <c r="J8" s="74"/>
      <c r="K8" s="74"/>
    </row>
    <row r="9" spans="1:12" x14ac:dyDescent="0.3">
      <c r="A9" s="116"/>
      <c r="B9" s="116"/>
      <c r="C9" s="45"/>
      <c r="D9" s="27"/>
    </row>
    <row r="10" spans="1:12" x14ac:dyDescent="0.3">
      <c r="A10" s="116"/>
      <c r="B10" s="116"/>
      <c r="C10" s="75"/>
      <c r="H10" s="34"/>
      <c r="I10" s="34"/>
      <c r="J10" s="34"/>
      <c r="K10" s="34"/>
    </row>
    <row r="11" spans="1:12" x14ac:dyDescent="0.3">
      <c r="A11" s="116"/>
      <c r="B11" s="116"/>
      <c r="C11" s="45"/>
    </row>
    <row r="12" spans="1:12" x14ac:dyDescent="0.3">
      <c r="A12" s="116"/>
      <c r="B12" s="116"/>
      <c r="C12" s="45"/>
    </row>
    <row r="13" spans="1:12" x14ac:dyDescent="0.3">
      <c r="A13" s="107" t="s">
        <v>6</v>
      </c>
      <c r="B13" s="107"/>
      <c r="C13" s="39">
        <v>45658</v>
      </c>
    </row>
    <row r="14" spans="1:12" x14ac:dyDescent="0.3">
      <c r="A14" s="107" t="s">
        <v>1</v>
      </c>
      <c r="B14" s="107"/>
      <c r="C14" s="8">
        <v>20</v>
      </c>
      <c r="L14" s="27"/>
    </row>
    <row r="15" spans="1:12" x14ac:dyDescent="0.3">
      <c r="A15" s="114" t="s">
        <v>19</v>
      </c>
      <c r="B15" s="115"/>
      <c r="C15" s="11">
        <v>1500</v>
      </c>
    </row>
    <row r="16" spans="1:12" x14ac:dyDescent="0.3">
      <c r="A16" s="107" t="s">
        <v>22</v>
      </c>
      <c r="B16" s="107"/>
      <c r="C16" s="33">
        <v>0.05</v>
      </c>
      <c r="H16" s="34"/>
      <c r="I16" s="34"/>
      <c r="J16" s="34"/>
      <c r="K16" s="34"/>
    </row>
    <row r="17" spans="1:24" x14ac:dyDescent="0.3">
      <c r="A17" s="107" t="s">
        <v>2</v>
      </c>
      <c r="B17" s="107"/>
      <c r="C17" s="8">
        <v>1750000</v>
      </c>
    </row>
    <row r="18" spans="1:24" x14ac:dyDescent="0.3">
      <c r="A18" s="107" t="s">
        <v>11</v>
      </c>
      <c r="B18" s="107"/>
      <c r="C18" s="8">
        <v>80000</v>
      </c>
    </row>
    <row r="19" spans="1:24" x14ac:dyDescent="0.3">
      <c r="A19" s="107" t="s">
        <v>7</v>
      </c>
      <c r="B19" s="107"/>
      <c r="C19" s="9">
        <v>0.2</v>
      </c>
      <c r="L19" s="34"/>
    </row>
    <row r="20" spans="1:24" x14ac:dyDescent="0.3">
      <c r="A20" s="107" t="s">
        <v>23</v>
      </c>
      <c r="B20" s="107"/>
      <c r="C20" s="33">
        <v>0.03</v>
      </c>
    </row>
    <row r="21" spans="1:24" x14ac:dyDescent="0.3">
      <c r="A21" s="107" t="s">
        <v>24</v>
      </c>
      <c r="B21" s="107"/>
      <c r="C21" s="33">
        <v>0.02</v>
      </c>
    </row>
    <row r="22" spans="1:24" x14ac:dyDescent="0.3">
      <c r="A22" s="25" t="s">
        <v>46</v>
      </c>
      <c r="B22" s="25"/>
      <c r="C22" s="60">
        <v>0.2</v>
      </c>
      <c r="D22" s="21"/>
      <c r="E22" s="21"/>
      <c r="F22" s="21"/>
      <c r="G22" s="21"/>
      <c r="H22" s="21"/>
      <c r="I22" s="21"/>
      <c r="J22" s="21"/>
      <c r="K22" s="21"/>
      <c r="L22" s="1"/>
      <c r="M22" s="20"/>
      <c r="N22" s="20"/>
      <c r="O22" s="20"/>
    </row>
    <row r="23" spans="1:24" x14ac:dyDescent="0.3">
      <c r="A23" s="121" t="s">
        <v>51</v>
      </c>
      <c r="B23" s="122"/>
      <c r="C23" s="62">
        <v>0.17499999999999999</v>
      </c>
      <c r="D23" s="21"/>
      <c r="E23" s="21"/>
      <c r="F23" s="21"/>
      <c r="G23" s="21"/>
      <c r="H23" s="21"/>
      <c r="I23" s="21"/>
      <c r="J23" s="21"/>
      <c r="K23" s="21"/>
      <c r="L23" s="1"/>
      <c r="M23" s="20"/>
      <c r="N23" s="20"/>
      <c r="O23" s="20"/>
    </row>
    <row r="24" spans="1:24" x14ac:dyDescent="0.3">
      <c r="A24" s="121" t="s">
        <v>52</v>
      </c>
      <c r="B24" s="122"/>
      <c r="C24" s="62">
        <v>0.15825</v>
      </c>
      <c r="D24" s="21"/>
      <c r="E24" s="21"/>
      <c r="F24" s="21"/>
      <c r="G24" s="21"/>
      <c r="H24" s="21"/>
      <c r="I24" s="21"/>
      <c r="J24" s="21"/>
      <c r="K24" s="21"/>
      <c r="L24" s="1"/>
      <c r="M24" s="20"/>
      <c r="N24" s="20"/>
      <c r="O24" s="20"/>
    </row>
    <row r="25" spans="1:24" x14ac:dyDescent="0.3">
      <c r="A25" s="114" t="s">
        <v>53</v>
      </c>
      <c r="B25" s="115"/>
      <c r="C25" s="61">
        <f>C23+C24</f>
        <v>0.33324999999999999</v>
      </c>
      <c r="D25" s="21"/>
      <c r="E25" s="21"/>
      <c r="F25" s="21"/>
      <c r="G25" s="21"/>
      <c r="H25" s="21"/>
      <c r="I25" s="21"/>
      <c r="J25" s="21"/>
      <c r="K25" s="21"/>
      <c r="L25" s="1"/>
      <c r="M25" s="20"/>
      <c r="N25" s="20"/>
      <c r="O25" s="20"/>
    </row>
    <row r="26" spans="1:24" s="40" customFormat="1" ht="16.2" customHeight="1" x14ac:dyDescent="0.3">
      <c r="G26" s="42"/>
      <c r="I26" s="41"/>
      <c r="J26" s="42"/>
      <c r="K26" s="42"/>
      <c r="L26" s="42"/>
      <c r="M26" s="42"/>
      <c r="N26" s="42"/>
      <c r="Q26" s="69"/>
    </row>
    <row r="27" spans="1:24" s="40" customFormat="1" ht="16.2" customHeight="1" x14ac:dyDescent="0.3">
      <c r="A27" s="43" t="str">
        <f>IF(AND(DAY(A43)=1,MONTH(A43)=1),"Ja","Nein")</f>
        <v>Ja</v>
      </c>
      <c r="B27" s="34" t="s">
        <v>32</v>
      </c>
      <c r="G27" s="42"/>
      <c r="I27" s="41"/>
      <c r="J27" s="42"/>
      <c r="K27" s="42"/>
      <c r="L27" s="42"/>
      <c r="M27" s="42"/>
      <c r="N27" s="42"/>
      <c r="Q27" s="69"/>
    </row>
    <row r="28" spans="1:24" s="40" customFormat="1" ht="15.6" customHeight="1" x14ac:dyDescent="0.3">
      <c r="G28" s="42"/>
      <c r="I28" s="41"/>
      <c r="J28" s="42"/>
      <c r="K28" s="42"/>
      <c r="L28" s="42"/>
      <c r="M28" s="42"/>
      <c r="N28" s="42"/>
      <c r="Q28" s="69"/>
    </row>
    <row r="29" spans="1:24" s="40" customFormat="1" ht="15" customHeight="1" x14ac:dyDescent="0.3">
      <c r="G29" s="42"/>
      <c r="I29" s="41"/>
      <c r="J29" s="42"/>
      <c r="K29" s="42"/>
      <c r="L29" s="42"/>
      <c r="M29" s="42"/>
      <c r="N29" s="42"/>
      <c r="Q29" s="69"/>
    </row>
    <row r="30" spans="1:24" x14ac:dyDescent="0.3">
      <c r="A30" s="117" t="s">
        <v>9</v>
      </c>
      <c r="B30" s="118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9"/>
      <c r="R30" s="70"/>
      <c r="S30" s="70"/>
      <c r="T30" s="70"/>
      <c r="U30" s="70"/>
      <c r="V30" s="70"/>
      <c r="W30" s="16"/>
      <c r="X30" s="16"/>
    </row>
    <row r="31" spans="1:24" x14ac:dyDescent="0.3">
      <c r="A31" s="117" t="s">
        <v>56</v>
      </c>
      <c r="B31" s="118"/>
      <c r="C31" s="119"/>
      <c r="D31" s="29"/>
      <c r="E31" s="68"/>
      <c r="F31" s="29"/>
      <c r="G31" s="117" t="s">
        <v>48</v>
      </c>
      <c r="H31" s="118"/>
      <c r="I31" s="118"/>
      <c r="J31" s="119"/>
      <c r="K31" s="44"/>
      <c r="L31" s="44"/>
      <c r="M31" s="29"/>
      <c r="N31" s="29"/>
      <c r="O31" s="29"/>
      <c r="P31" s="29"/>
      <c r="Q31" s="29"/>
      <c r="R31" s="70"/>
      <c r="S31" s="70"/>
      <c r="T31" s="70"/>
      <c r="U31" s="70"/>
      <c r="V31" s="70"/>
      <c r="W31" s="16"/>
      <c r="X31" s="16"/>
    </row>
    <row r="32" spans="1:24" ht="57.6" x14ac:dyDescent="0.3">
      <c r="A32" s="36" t="s">
        <v>4</v>
      </c>
      <c r="B32" s="50" t="s">
        <v>68</v>
      </c>
      <c r="C32" s="50" t="s">
        <v>43</v>
      </c>
      <c r="D32" s="63" t="s">
        <v>45</v>
      </c>
      <c r="E32" s="63" t="s">
        <v>50</v>
      </c>
      <c r="F32" s="57" t="s">
        <v>47</v>
      </c>
      <c r="G32" s="36" t="s">
        <v>29</v>
      </c>
      <c r="H32" s="36" t="s">
        <v>42</v>
      </c>
      <c r="I32" s="36" t="s">
        <v>5</v>
      </c>
      <c r="J32" s="36" t="s">
        <v>28</v>
      </c>
      <c r="K32" s="36" t="s">
        <v>63</v>
      </c>
      <c r="L32" s="36" t="s">
        <v>64</v>
      </c>
      <c r="M32" s="36" t="s">
        <v>27</v>
      </c>
      <c r="N32" s="36" t="s">
        <v>54</v>
      </c>
      <c r="O32" s="36" t="s">
        <v>55</v>
      </c>
      <c r="P32" s="36" t="s">
        <v>10</v>
      </c>
      <c r="Q32" s="36" t="s">
        <v>12</v>
      </c>
      <c r="R32" s="16"/>
      <c r="S32" s="16"/>
    </row>
    <row r="33" spans="1:19" x14ac:dyDescent="0.3">
      <c r="A33" s="6"/>
      <c r="B33" s="51"/>
      <c r="C33" s="52">
        <f>SUM(C37:C40)</f>
        <v>80000</v>
      </c>
      <c r="D33" s="64"/>
      <c r="E33" s="64"/>
      <c r="F33" s="58"/>
      <c r="G33" s="26">
        <f>SUM(G37:G41)</f>
        <v>78143.992099320909</v>
      </c>
      <c r="H33" s="13" t="str">
        <f>_xlfn.CONCAT(C15,"€   (",C21*100,"%)")</f>
        <v>1500€   (2%)</v>
      </c>
      <c r="I33" s="13" t="str">
        <f>_xlfn.CONCAT(C19,"€   (",C20*100,"%)")</f>
        <v>0,2€   (3%)</v>
      </c>
      <c r="J33" s="6"/>
      <c r="K33" s="6"/>
      <c r="L33" s="6"/>
      <c r="M33" s="6"/>
      <c r="N33" s="6"/>
      <c r="O33" s="6"/>
      <c r="P33" s="6"/>
      <c r="Q33" s="19"/>
      <c r="R33" s="16"/>
      <c r="S33" s="16"/>
    </row>
    <row r="34" spans="1:19" ht="14.55" customHeight="1" x14ac:dyDescent="0.3">
      <c r="A34" s="6"/>
      <c r="B34" s="51"/>
      <c r="C34" s="53"/>
      <c r="D34" s="64"/>
      <c r="E34" s="64"/>
      <c r="F34" s="58"/>
      <c r="G34" s="26"/>
      <c r="H34" s="13"/>
      <c r="I34" s="23"/>
      <c r="J34" s="6"/>
      <c r="K34" s="6"/>
      <c r="L34" s="6"/>
      <c r="M34" s="6"/>
      <c r="N34" s="6"/>
      <c r="O34" s="6"/>
      <c r="P34" s="6"/>
      <c r="Q34" s="6"/>
      <c r="R34" s="16"/>
      <c r="S34" s="16"/>
    </row>
    <row r="35" spans="1:19" ht="26.55" customHeight="1" x14ac:dyDescent="0.3">
      <c r="A35" s="123" t="s">
        <v>20</v>
      </c>
      <c r="B35" s="123"/>
      <c r="C35" s="123"/>
      <c r="D35" s="123"/>
      <c r="E35" s="123"/>
      <c r="F35" s="123"/>
      <c r="G35" s="123"/>
      <c r="H35" s="123"/>
      <c r="I35" s="123"/>
      <c r="J35" s="123"/>
      <c r="K35" s="123"/>
      <c r="L35" s="123"/>
      <c r="M35" s="123"/>
      <c r="N35" s="123"/>
      <c r="O35" s="123"/>
      <c r="P35" s="123"/>
      <c r="Q35" s="123"/>
    </row>
    <row r="36" spans="1:19" ht="15.6" customHeight="1" x14ac:dyDescent="0.3">
      <c r="A36" s="6"/>
      <c r="B36" s="51"/>
      <c r="C36" s="53"/>
      <c r="D36" s="64"/>
      <c r="E36" s="64"/>
      <c r="F36" s="58"/>
      <c r="G36" s="26"/>
      <c r="H36" s="13"/>
      <c r="I36" s="23"/>
      <c r="J36" s="6"/>
      <c r="K36" s="6"/>
      <c r="L36" s="6"/>
      <c r="M36" s="6"/>
      <c r="N36" s="6"/>
      <c r="O36" s="6"/>
      <c r="P36" s="6"/>
      <c r="Q36" s="6"/>
      <c r="R36" s="16"/>
      <c r="S36" s="16"/>
    </row>
    <row r="37" spans="1:19" x14ac:dyDescent="0.3">
      <c r="A37" s="22">
        <f>D4</f>
        <v>45627</v>
      </c>
      <c r="B37" s="47">
        <f>(A$43-A37)/365</f>
        <v>8.4931506849315067E-2</v>
      </c>
      <c r="C37" s="52">
        <f>C4</f>
        <v>10000</v>
      </c>
      <c r="D37" s="65"/>
      <c r="E37" s="65"/>
      <c r="F37" s="59"/>
      <c r="G37" s="13">
        <f>C37*(1+C$16)^B37</f>
        <v>10041.52419664797</v>
      </c>
      <c r="H37" s="2"/>
      <c r="I37" s="23"/>
      <c r="J37" s="13"/>
      <c r="K37" s="13"/>
      <c r="L37" s="31"/>
      <c r="M37" s="31"/>
      <c r="N37" s="2"/>
      <c r="O37" s="13"/>
      <c r="P37" s="13"/>
      <c r="Q37" s="19">
        <f>-G37</f>
        <v>-10041.52419664797</v>
      </c>
      <c r="R37" s="17"/>
      <c r="S37" s="18"/>
    </row>
    <row r="38" spans="1:19" x14ac:dyDescent="0.3">
      <c r="A38" s="22">
        <f>IF(C5=0,"",D5)</f>
        <v>45717</v>
      </c>
      <c r="B38" s="47">
        <f>(A$43-A38)/365</f>
        <v>-0.16164383561643836</v>
      </c>
      <c r="C38" s="52">
        <f>C5</f>
        <v>30000</v>
      </c>
      <c r="D38" s="65"/>
      <c r="E38" s="65"/>
      <c r="F38" s="59"/>
      <c r="G38" s="13">
        <f>C38*(1+C$16)^B38</f>
        <v>29764.331657648236</v>
      </c>
      <c r="H38" s="2"/>
      <c r="I38" s="23"/>
      <c r="J38" s="13"/>
      <c r="K38" s="13"/>
      <c r="L38" s="31"/>
      <c r="M38" s="31"/>
      <c r="N38" s="12"/>
      <c r="O38" s="13"/>
      <c r="P38" s="13"/>
      <c r="Q38" s="19">
        <f>Q37-G38</f>
        <v>-39805.855854296206</v>
      </c>
      <c r="R38" s="17"/>
      <c r="S38" s="18"/>
    </row>
    <row r="39" spans="1:19" x14ac:dyDescent="0.3">
      <c r="A39" s="22">
        <f>IF(C6=0,"",D6)</f>
        <v>45960</v>
      </c>
      <c r="B39" s="47">
        <f>(A$43-A39)/365</f>
        <v>-0.82739726027397265</v>
      </c>
      <c r="C39" s="52">
        <f>C6</f>
        <v>30000</v>
      </c>
      <c r="D39" s="65"/>
      <c r="E39" s="65"/>
      <c r="F39" s="59"/>
      <c r="G39" s="13">
        <f>C39*(1+C$16)^B39</f>
        <v>28813.05357248076</v>
      </c>
      <c r="H39" s="2"/>
      <c r="I39" s="23"/>
      <c r="J39" s="13"/>
      <c r="K39" s="13"/>
      <c r="L39" s="31"/>
      <c r="M39" s="31"/>
      <c r="N39" s="12"/>
      <c r="O39" s="13"/>
      <c r="P39" s="13"/>
      <c r="Q39" s="19">
        <f>Q38-G39</f>
        <v>-68618.909426776969</v>
      </c>
      <c r="R39" s="17"/>
      <c r="S39" s="18"/>
    </row>
    <row r="40" spans="1:19" x14ac:dyDescent="0.3">
      <c r="A40" s="22">
        <f>IF(C7=0,"",D7)</f>
        <v>46022</v>
      </c>
      <c r="B40" s="47">
        <f>(A$43-A40)/365</f>
        <v>-0.99726027397260275</v>
      </c>
      <c r="C40" s="52">
        <f>C7</f>
        <v>10000</v>
      </c>
      <c r="D40" s="65"/>
      <c r="E40" s="65"/>
      <c r="F40" s="59"/>
      <c r="G40" s="13">
        <f>C40*(1+C$16)^B40</f>
        <v>9525.0826725439383</v>
      </c>
      <c r="H40" s="2"/>
      <c r="I40" s="23"/>
      <c r="J40" s="13"/>
      <c r="K40" s="13"/>
      <c r="L40" s="31"/>
      <c r="M40" s="31"/>
      <c r="N40" s="12"/>
      <c r="O40" s="13"/>
      <c r="P40" s="13"/>
      <c r="Q40" s="19">
        <f>Q39-G40</f>
        <v>-78143.992099320909</v>
      </c>
      <c r="R40" s="17"/>
      <c r="S40" s="18"/>
    </row>
    <row r="41" spans="1:19" x14ac:dyDescent="0.3">
      <c r="A41" s="22"/>
      <c r="B41" s="47"/>
      <c r="C41" s="52"/>
      <c r="D41" s="65"/>
      <c r="E41" s="65"/>
      <c r="F41" s="59"/>
      <c r="G41" s="13"/>
      <c r="H41" s="2"/>
      <c r="I41" s="23"/>
      <c r="J41" s="13"/>
      <c r="K41" s="13"/>
      <c r="L41" s="31"/>
      <c r="M41" s="31"/>
      <c r="N41" s="12"/>
      <c r="O41" s="13"/>
      <c r="P41" s="13"/>
      <c r="Q41" s="19"/>
      <c r="R41" s="17"/>
      <c r="S41" s="18"/>
    </row>
    <row r="42" spans="1:19" ht="29.1" customHeight="1" x14ac:dyDescent="0.3">
      <c r="A42" s="120"/>
      <c r="B42" s="120"/>
      <c r="C42" s="120"/>
      <c r="D42" s="66"/>
      <c r="E42" s="66"/>
      <c r="F42" s="35"/>
      <c r="G42" s="35"/>
      <c r="H42" s="30" t="s">
        <v>21</v>
      </c>
      <c r="I42" s="30"/>
      <c r="J42" s="30"/>
      <c r="K42" s="30"/>
      <c r="L42" s="32"/>
      <c r="M42" s="32"/>
      <c r="N42" s="30"/>
      <c r="O42" s="30"/>
      <c r="P42" s="30"/>
      <c r="Q42" s="30"/>
    </row>
    <row r="43" spans="1:19" x14ac:dyDescent="0.3">
      <c r="A43" s="37">
        <f>C13</f>
        <v>45658</v>
      </c>
      <c r="B43" s="47">
        <f>IF(A27="Ja",1,(DATE(YEAR(A43),12,31)-DATE(YEAR(A43),MONTH(A43),DAY(A43))+1)/365)</f>
        <v>1</v>
      </c>
      <c r="C43" s="48"/>
      <c r="D43" s="65">
        <f>($C$4+$C$5+$C$6+$C$7+$C$9)*C22</f>
        <v>16000</v>
      </c>
      <c r="E43" s="65">
        <f t="shared" ref="E43" si="0">D43*$C$25</f>
        <v>5332</v>
      </c>
      <c r="F43" s="59">
        <f>($C$4+$C$5+$C$6+$C$7+$C$9)-D43</f>
        <v>64000</v>
      </c>
      <c r="G43" s="24"/>
      <c r="H43" s="14">
        <f>(C15*B43)</f>
        <v>1500</v>
      </c>
      <c r="I43" s="23">
        <f>C19</f>
        <v>0.2</v>
      </c>
      <c r="J43" s="14">
        <f>C18*I43*B43+E43</f>
        <v>21332</v>
      </c>
      <c r="K43" s="14">
        <f>H43</f>
        <v>1500</v>
      </c>
      <c r="L43" s="46">
        <f t="shared" ref="L43" si="1">J43-H43</f>
        <v>19832</v>
      </c>
      <c r="M43" s="46">
        <f>L43</f>
        <v>19832</v>
      </c>
      <c r="N43" s="12">
        <f>IF(A27="Ja",1/(1+C$16)^1,1/(1+C$16)^B43)</f>
        <v>0.95238095238095233</v>
      </c>
      <c r="O43" s="46">
        <f t="shared" ref="O43" si="2">(L43-K43)*N43</f>
        <v>17459.047619047618</v>
      </c>
      <c r="P43" s="46">
        <f>P37+O43</f>
        <v>17459.047619047618</v>
      </c>
      <c r="Q43" s="19">
        <f>Q40+O43</f>
        <v>-60684.944480273291</v>
      </c>
      <c r="R43" s="45"/>
      <c r="S43" s="18"/>
    </row>
    <row r="44" spans="1:19" x14ac:dyDescent="0.3">
      <c r="A44" s="22">
        <f>IF($B44="","",(DATE(YEAR(A43)+1,MONTH(1),DAY(1))))</f>
        <v>46023</v>
      </c>
      <c r="B44" s="49">
        <f>IFERROR(IF(IF(A27="Ja",2,1)&lt;=$C$14,IF(A27="Ja",2,1),""),"")</f>
        <v>2</v>
      </c>
      <c r="C44" s="49"/>
      <c r="D44" s="65">
        <f>IF($B44="","",F43*C22)</f>
        <v>12800</v>
      </c>
      <c r="E44" s="65">
        <f>IF($B44="","",$D44*$C$25)</f>
        <v>4265.5999999999995</v>
      </c>
      <c r="F44" s="59">
        <f>IF($B44="","",$F43-$D44)</f>
        <v>51200</v>
      </c>
      <c r="G44" s="3"/>
      <c r="H44" s="14">
        <f>IF($B44="","",$H43*(1+$C$21))</f>
        <v>1530</v>
      </c>
      <c r="I44" s="23">
        <f>IF($B44="","",I43*(1+C$20))</f>
        <v>0.20600000000000002</v>
      </c>
      <c r="J44" s="14">
        <f>IF($B44="","",$C$18*$I44+$E44)</f>
        <v>20745.599999999999</v>
      </c>
      <c r="K44" s="14">
        <f>IF($B44="","",H44)</f>
        <v>1530</v>
      </c>
      <c r="L44" s="46">
        <f>IF($B44="","",J44-H44)</f>
        <v>19215.599999999999</v>
      </c>
      <c r="M44" s="46">
        <f>IF($B44="","",$M43+$L44)</f>
        <v>39047.599999999999</v>
      </c>
      <c r="N44" s="12">
        <f>IF($B44="","",1/(1+C$16)^(B44))</f>
        <v>0.90702947845804982</v>
      </c>
      <c r="O44" s="46">
        <f>IF($B44="","",(L44-K44)*N44)</f>
        <v>16041.360544217685</v>
      </c>
      <c r="P44" s="46">
        <f>IF($B44="","",P43+O44)</f>
        <v>33500.408163265303</v>
      </c>
      <c r="Q44" s="19">
        <f>IF($B44="","",Q43+O44)</f>
        <v>-44643.583936055606</v>
      </c>
      <c r="R44" s="45"/>
      <c r="S44" s="18"/>
    </row>
    <row r="45" spans="1:19" x14ac:dyDescent="0.3">
      <c r="A45" s="22">
        <f>IF($B45="","",(DATE(YEAR(A44)+1,MONTH(1),DAY(1))))</f>
        <v>46388</v>
      </c>
      <c r="B45" s="49">
        <f>IFERROR(IF(B44+1&lt;=$C$14,B44+1,""),"")</f>
        <v>3</v>
      </c>
      <c r="C45" s="49"/>
      <c r="D45" s="65">
        <f>IF($B45="","",F44*C22)</f>
        <v>10240</v>
      </c>
      <c r="E45" s="65">
        <f>IF($B45="","",$D45*$C$25)</f>
        <v>3412.48</v>
      </c>
      <c r="F45" s="59">
        <f>IF($B45="","",$F44-$D45)</f>
        <v>40960</v>
      </c>
      <c r="G45" s="3"/>
      <c r="H45" s="14">
        <f>IF($B45="","",$H44*(1+$C$21))</f>
        <v>1560.6000000000001</v>
      </c>
      <c r="I45" s="23">
        <f>IF($B45="","",I44*(1+C$20))</f>
        <v>0.21218000000000004</v>
      </c>
      <c r="J45" s="14">
        <f>IF($B45="","",$C$18*$I45+$E45)</f>
        <v>20386.88</v>
      </c>
      <c r="K45" s="14">
        <f>IF($B45="","",H45)</f>
        <v>1560.6000000000001</v>
      </c>
      <c r="L45" s="46">
        <f>IF($B45="","",J45-H45)</f>
        <v>18826.280000000002</v>
      </c>
      <c r="M45" s="46">
        <f>IF($B45="","",$M44+$L45)</f>
        <v>57873.880000000005</v>
      </c>
      <c r="N45" s="12">
        <f>IF($B45="","",1/(1+C$16)^(B45))</f>
        <v>0.86383759853147601</v>
      </c>
      <c r="O45" s="46">
        <f>IF($B45="","",(L45-K45)*N45)</f>
        <v>14914.743548212939</v>
      </c>
      <c r="P45" s="46">
        <f>IF($B45="","",P44+O45)</f>
        <v>48415.15171147824</v>
      </c>
      <c r="Q45" s="19">
        <f>IF($B45="","",Q44+O45)</f>
        <v>-29728.840387842669</v>
      </c>
      <c r="R45" s="45"/>
      <c r="S45" s="18"/>
    </row>
    <row r="46" spans="1:19" x14ac:dyDescent="0.3">
      <c r="A46" s="22">
        <f t="shared" ref="A46:A87" si="3">IF($B46="","",(DATE(YEAR(A45)+1,MONTH(1),DAY(1))))</f>
        <v>46753</v>
      </c>
      <c r="B46" s="49">
        <f>IFERROR(IF(B45+1&lt;=$C$14,B45+1,""),"")</f>
        <v>4</v>
      </c>
      <c r="C46" s="49"/>
      <c r="D46" s="65">
        <f>IF($B46="","",F45*C22)</f>
        <v>8192</v>
      </c>
      <c r="E46" s="65">
        <f t="shared" ref="E46:E88" si="4">IF($B46="","",$D46*$C$25)</f>
        <v>2729.9839999999999</v>
      </c>
      <c r="F46" s="59">
        <f t="shared" ref="F46:F91" si="5">IF($B46="","",$F45-$D46)</f>
        <v>32768</v>
      </c>
      <c r="G46" s="3"/>
      <c r="H46" s="14">
        <f>IF($B46="","",$H45*(1+$C$21))</f>
        <v>1591.8120000000001</v>
      </c>
      <c r="I46" s="23">
        <f t="shared" ref="I46:I88" si="6">IF($B46="","",I45*(1+C$20))</f>
        <v>0.21854540000000003</v>
      </c>
      <c r="J46" s="14">
        <f t="shared" ref="J46:J86" si="7">IF($B46="","",$C$18*$I46+$E46)</f>
        <v>20213.616000000002</v>
      </c>
      <c r="K46" s="14">
        <f t="shared" ref="K46:K90" si="8">IF($B46="","",H46)</f>
        <v>1591.8120000000001</v>
      </c>
      <c r="L46" s="46">
        <f t="shared" ref="L46:L90" si="9">IF($B46="","",J46-H46)</f>
        <v>18621.804</v>
      </c>
      <c r="M46" s="46">
        <f t="shared" ref="M46:M85" si="10">IF($B46="","",$M45+$L46)</f>
        <v>76495.684000000008</v>
      </c>
      <c r="N46" s="12">
        <f>IF($B46="","",1/(1+C$16)^(B46))</f>
        <v>0.82270247479188197</v>
      </c>
      <c r="O46" s="46">
        <f>IF($B46="","",(L46-K46)*N46)</f>
        <v>14010.616564085951</v>
      </c>
      <c r="P46" s="46">
        <f>IF($B46="","",P45+O46)</f>
        <v>62425.768275564187</v>
      </c>
      <c r="Q46" s="19">
        <f t="shared" ref="Q46:Q82" si="11">IF($B46="","",Q45+O46)</f>
        <v>-15718.223823756718</v>
      </c>
      <c r="R46" s="45"/>
      <c r="S46" s="18"/>
    </row>
    <row r="47" spans="1:19" x14ac:dyDescent="0.3">
      <c r="A47" s="22">
        <f t="shared" si="3"/>
        <v>47119</v>
      </c>
      <c r="B47" s="49">
        <f t="shared" ref="B47:B54" si="12">IFERROR(IF(B46+1&lt;=$C$14,B46+1,""),"")</f>
        <v>5</v>
      </c>
      <c r="C47" s="49"/>
      <c r="D47" s="65">
        <f>IF($B47="","",F46*C22)</f>
        <v>6553.6</v>
      </c>
      <c r="E47" s="65">
        <f t="shared" si="4"/>
        <v>2183.9872</v>
      </c>
      <c r="F47" s="59">
        <f t="shared" si="5"/>
        <v>26214.400000000001</v>
      </c>
      <c r="G47" s="3"/>
      <c r="H47" s="14">
        <f t="shared" ref="H47:H89" si="13">IF($B47="","",$H46*(1+$C$21))</f>
        <v>1623.6482400000002</v>
      </c>
      <c r="I47" s="23">
        <f t="shared" si="6"/>
        <v>0.22510176200000004</v>
      </c>
      <c r="J47" s="14">
        <f t="shared" si="7"/>
        <v>20192.128160000004</v>
      </c>
      <c r="K47" s="14">
        <f t="shared" si="8"/>
        <v>1623.6482400000002</v>
      </c>
      <c r="L47" s="46">
        <f t="shared" si="9"/>
        <v>18568.479920000005</v>
      </c>
      <c r="M47" s="46">
        <f t="shared" si="10"/>
        <v>95064.163920000021</v>
      </c>
      <c r="N47" s="12">
        <f t="shared" ref="N47:N93" si="14">IF($B47="","",1/(1+C$16)^(B47))</f>
        <v>0.78352616646845896</v>
      </c>
      <c r="O47" s="46">
        <f t="shared" ref="O47:O85" si="15">IF($B47="","",(L47-K47)*N47)</f>
        <v>13276.719007683701</v>
      </c>
      <c r="P47" s="46">
        <f t="shared" ref="P47:P91" si="16">IF($B47="","",P46+O47)</f>
        <v>75702.487283247887</v>
      </c>
      <c r="Q47" s="19">
        <f t="shared" si="11"/>
        <v>-2441.5048160730166</v>
      </c>
      <c r="R47" s="45"/>
      <c r="S47" s="18"/>
    </row>
    <row r="48" spans="1:19" x14ac:dyDescent="0.3">
      <c r="A48" s="22">
        <f t="shared" si="3"/>
        <v>47484</v>
      </c>
      <c r="B48" s="49">
        <f t="shared" si="12"/>
        <v>6</v>
      </c>
      <c r="C48" s="49"/>
      <c r="D48" s="65">
        <f>IF($B48="","",F47*C22)</f>
        <v>5242.880000000001</v>
      </c>
      <c r="E48" s="65">
        <f t="shared" si="4"/>
        <v>1747.1897600000002</v>
      </c>
      <c r="F48" s="59">
        <f t="shared" si="5"/>
        <v>20971.52</v>
      </c>
      <c r="G48" s="3"/>
      <c r="H48" s="14">
        <f t="shared" si="13"/>
        <v>1656.1212048000002</v>
      </c>
      <c r="I48" s="23">
        <f t="shared" si="6"/>
        <v>0.23185481486000004</v>
      </c>
      <c r="J48" s="14">
        <f t="shared" si="7"/>
        <v>20295.574948800004</v>
      </c>
      <c r="K48" s="14">
        <f t="shared" si="8"/>
        <v>1656.1212048000002</v>
      </c>
      <c r="L48" s="46">
        <f t="shared" si="9"/>
        <v>18639.453744000002</v>
      </c>
      <c r="M48" s="46">
        <f t="shared" si="10"/>
        <v>113703.61766400002</v>
      </c>
      <c r="N48" s="12">
        <f t="shared" si="14"/>
        <v>0.74621539663662761</v>
      </c>
      <c r="O48" s="46">
        <f t="shared" si="15"/>
        <v>12673.224226950873</v>
      </c>
      <c r="P48" s="46">
        <f t="shared" si="16"/>
        <v>88375.711510198758</v>
      </c>
      <c r="Q48" s="19">
        <f t="shared" si="11"/>
        <v>10231.719410877857</v>
      </c>
      <c r="R48" s="45"/>
    </row>
    <row r="49" spans="1:19" x14ac:dyDescent="0.3">
      <c r="A49" s="22">
        <f t="shared" si="3"/>
        <v>47849</v>
      </c>
      <c r="B49" s="49">
        <f t="shared" si="12"/>
        <v>7</v>
      </c>
      <c r="C49" s="49"/>
      <c r="D49" s="65">
        <f>IF($B49="","",F48*C22)</f>
        <v>4194.3040000000001</v>
      </c>
      <c r="E49" s="65">
        <f t="shared" si="4"/>
        <v>1397.751808</v>
      </c>
      <c r="F49" s="59">
        <f t="shared" si="5"/>
        <v>16777.216</v>
      </c>
      <c r="G49" s="3"/>
      <c r="H49" s="14">
        <f t="shared" si="13"/>
        <v>1689.2436288960002</v>
      </c>
      <c r="I49" s="23">
        <f t="shared" si="6"/>
        <v>0.23881045930580005</v>
      </c>
      <c r="J49" s="14">
        <f t="shared" si="7"/>
        <v>20502.588552464007</v>
      </c>
      <c r="K49" s="14">
        <f t="shared" si="8"/>
        <v>1689.2436288960002</v>
      </c>
      <c r="L49" s="46">
        <f t="shared" si="9"/>
        <v>18813.344923568005</v>
      </c>
      <c r="M49" s="46">
        <f t="shared" si="10"/>
        <v>132516.96258756804</v>
      </c>
      <c r="N49" s="12">
        <f t="shared" si="14"/>
        <v>0.71068133013012147</v>
      </c>
      <c r="O49" s="46">
        <f t="shared" si="15"/>
        <v>12169.779085380434</v>
      </c>
      <c r="P49" s="46">
        <f t="shared" si="16"/>
        <v>100545.49059557919</v>
      </c>
      <c r="Q49" s="19">
        <f t="shared" si="11"/>
        <v>22401.498496258289</v>
      </c>
      <c r="R49" s="45"/>
    </row>
    <row r="50" spans="1:19" x14ac:dyDescent="0.3">
      <c r="A50" s="22">
        <f t="shared" si="3"/>
        <v>48214</v>
      </c>
      <c r="B50" s="49">
        <f t="shared" si="12"/>
        <v>8</v>
      </c>
      <c r="C50" s="49"/>
      <c r="D50" s="65">
        <f>IF($B50="","",F49*C22)</f>
        <v>3355.4432000000002</v>
      </c>
      <c r="E50" s="65">
        <f t="shared" si="4"/>
        <v>1118.2014464000001</v>
      </c>
      <c r="F50" s="59">
        <f t="shared" si="5"/>
        <v>13421.772800000001</v>
      </c>
      <c r="G50" s="3"/>
      <c r="H50" s="14">
        <f t="shared" si="13"/>
        <v>1723.0285014739202</v>
      </c>
      <c r="I50" s="23">
        <f t="shared" si="6"/>
        <v>0.24597477308497406</v>
      </c>
      <c r="J50" s="14">
        <f t="shared" si="7"/>
        <v>20796.183293197922</v>
      </c>
      <c r="K50" s="14">
        <f t="shared" si="8"/>
        <v>1723.0285014739202</v>
      </c>
      <c r="L50" s="46">
        <f t="shared" si="9"/>
        <v>19073.154791724002</v>
      </c>
      <c r="M50" s="46">
        <f t="shared" si="10"/>
        <v>151590.11737929203</v>
      </c>
      <c r="N50" s="12">
        <f t="shared" si="14"/>
        <v>0.67683936202868722</v>
      </c>
      <c r="O50" s="46">
        <f t="shared" si="15"/>
        <v>11743.24840941002</v>
      </c>
      <c r="P50" s="46">
        <f t="shared" si="16"/>
        <v>112288.73900498921</v>
      </c>
      <c r="Q50" s="19">
        <f t="shared" si="11"/>
        <v>34144.746905668311</v>
      </c>
      <c r="R50" s="45"/>
    </row>
    <row r="51" spans="1:19" x14ac:dyDescent="0.3">
      <c r="A51" s="22">
        <f t="shared" si="3"/>
        <v>48580</v>
      </c>
      <c r="B51" s="49">
        <f t="shared" si="12"/>
        <v>9</v>
      </c>
      <c r="C51" s="49"/>
      <c r="D51" s="65">
        <f>IF($B51="","",F50*C22)</f>
        <v>2684.3545600000002</v>
      </c>
      <c r="E51" s="65">
        <f t="shared" si="4"/>
        <v>894.56115712000008</v>
      </c>
      <c r="F51" s="59">
        <f t="shared" si="5"/>
        <v>10737.418240000001</v>
      </c>
      <c r="G51" s="3"/>
      <c r="H51" s="14">
        <f t="shared" si="13"/>
        <v>1757.4890715033987</v>
      </c>
      <c r="I51" s="23">
        <f t="shared" si="6"/>
        <v>0.2533540162775233</v>
      </c>
      <c r="J51" s="14">
        <f t="shared" si="7"/>
        <v>21162.882459321863</v>
      </c>
      <c r="K51" s="14">
        <f t="shared" si="8"/>
        <v>1757.4890715033987</v>
      </c>
      <c r="L51" s="46">
        <f t="shared" si="9"/>
        <v>19405.393387818465</v>
      </c>
      <c r="M51" s="46">
        <f t="shared" si="10"/>
        <v>170995.51076711051</v>
      </c>
      <c r="N51" s="12">
        <f t="shared" si="14"/>
        <v>0.64460891621779726</v>
      </c>
      <c r="O51" s="46">
        <f t="shared" si="15"/>
        <v>11375.996474855241</v>
      </c>
      <c r="P51" s="46">
        <f t="shared" si="16"/>
        <v>123664.73547984446</v>
      </c>
      <c r="Q51" s="19">
        <f t="shared" si="11"/>
        <v>45520.743380523549</v>
      </c>
      <c r="R51" s="45"/>
    </row>
    <row r="52" spans="1:19" x14ac:dyDescent="0.3">
      <c r="A52" s="22">
        <f t="shared" si="3"/>
        <v>48945</v>
      </c>
      <c r="B52" s="49">
        <f t="shared" si="12"/>
        <v>10</v>
      </c>
      <c r="C52" s="49"/>
      <c r="D52" s="65">
        <f>IF($B52="","",F51*C22)</f>
        <v>2147.4836480000004</v>
      </c>
      <c r="E52" s="65">
        <f t="shared" si="4"/>
        <v>715.64892569600011</v>
      </c>
      <c r="F52" s="59">
        <f t="shared" si="5"/>
        <v>8589.9345920000014</v>
      </c>
      <c r="G52" s="3"/>
      <c r="H52" s="14">
        <f t="shared" si="13"/>
        <v>1792.6388529334668</v>
      </c>
      <c r="I52" s="23">
        <f t="shared" si="6"/>
        <v>0.26095463676584901</v>
      </c>
      <c r="J52" s="14">
        <f t="shared" si="7"/>
        <v>21592.019866963921</v>
      </c>
      <c r="K52" s="14">
        <f t="shared" si="8"/>
        <v>1792.6388529334668</v>
      </c>
      <c r="L52" s="46">
        <f t="shared" si="9"/>
        <v>19799.381014030456</v>
      </c>
      <c r="M52" s="46">
        <f t="shared" si="10"/>
        <v>190794.89178114096</v>
      </c>
      <c r="N52" s="12">
        <f t="shared" si="14"/>
        <v>0.61391325354075932</v>
      </c>
      <c r="O52" s="46">
        <f t="shared" si="15"/>
        <v>11054.577665788616</v>
      </c>
      <c r="P52" s="46">
        <f t="shared" si="16"/>
        <v>134719.31314563309</v>
      </c>
      <c r="Q52" s="19">
        <f t="shared" si="11"/>
        <v>56575.321046312165</v>
      </c>
      <c r="R52" s="45"/>
      <c r="S52" s="18"/>
    </row>
    <row r="53" spans="1:19" x14ac:dyDescent="0.3">
      <c r="A53" s="22">
        <f t="shared" si="3"/>
        <v>49310</v>
      </c>
      <c r="B53" s="49">
        <f t="shared" si="12"/>
        <v>11</v>
      </c>
      <c r="C53" s="49"/>
      <c r="D53" s="65">
        <f>IF($B53="","",F52*C22)</f>
        <v>1717.9869184000004</v>
      </c>
      <c r="E53" s="65">
        <f t="shared" si="4"/>
        <v>572.51914055680015</v>
      </c>
      <c r="F53" s="59">
        <f t="shared" si="5"/>
        <v>6871.9476736000015</v>
      </c>
      <c r="G53" s="3"/>
      <c r="H53" s="14">
        <f t="shared" si="13"/>
        <v>1828.491629992136</v>
      </c>
      <c r="I53" s="23">
        <f t="shared" si="6"/>
        <v>0.2687832758688245</v>
      </c>
      <c r="J53" s="14">
        <f t="shared" si="7"/>
        <v>22075.181210062761</v>
      </c>
      <c r="K53" s="14">
        <f t="shared" si="8"/>
        <v>1828.491629992136</v>
      </c>
      <c r="L53" s="46">
        <f t="shared" si="9"/>
        <v>20246.689580070626</v>
      </c>
      <c r="M53" s="46">
        <f t="shared" si="10"/>
        <v>211041.5813612116</v>
      </c>
      <c r="N53" s="12">
        <f t="shared" si="14"/>
        <v>0.5846792890864374</v>
      </c>
      <c r="O53" s="46">
        <f t="shared" si="15"/>
        <v>10768.738883705171</v>
      </c>
      <c r="P53" s="46">
        <f t="shared" si="16"/>
        <v>145488.05202933826</v>
      </c>
      <c r="Q53" s="19">
        <f t="shared" si="11"/>
        <v>67344.059930017334</v>
      </c>
      <c r="R53" s="45"/>
      <c r="S53" s="18"/>
    </row>
    <row r="54" spans="1:19" x14ac:dyDescent="0.3">
      <c r="A54" s="22">
        <f t="shared" si="3"/>
        <v>49675</v>
      </c>
      <c r="B54" s="49">
        <f t="shared" si="12"/>
        <v>12</v>
      </c>
      <c r="C54" s="49"/>
      <c r="D54" s="65">
        <f>IF($B54="","",F53*C22)</f>
        <v>1374.3895347200005</v>
      </c>
      <c r="E54" s="65">
        <f t="shared" si="4"/>
        <v>458.01531244544014</v>
      </c>
      <c r="F54" s="59">
        <f t="shared" si="5"/>
        <v>5497.558138880001</v>
      </c>
      <c r="G54" s="3"/>
      <c r="H54" s="14">
        <f t="shared" si="13"/>
        <v>1865.0614625919789</v>
      </c>
      <c r="I54" s="23">
        <f t="shared" si="6"/>
        <v>0.27684677414488923</v>
      </c>
      <c r="J54" s="14">
        <f t="shared" si="7"/>
        <v>22605.75724403658</v>
      </c>
      <c r="K54" s="14">
        <f t="shared" si="8"/>
        <v>1865.0614625919789</v>
      </c>
      <c r="L54" s="46">
        <f t="shared" si="9"/>
        <v>20740.6957814446</v>
      </c>
      <c r="M54" s="46">
        <f t="shared" si="10"/>
        <v>231782.27714265621</v>
      </c>
      <c r="N54" s="12">
        <f t="shared" si="14"/>
        <v>0.5568374181775595</v>
      </c>
      <c r="O54" s="46">
        <f t="shared" si="15"/>
        <v>10510.659480573631</v>
      </c>
      <c r="P54" s="46">
        <f t="shared" si="16"/>
        <v>155998.7115099119</v>
      </c>
      <c r="Q54" s="19">
        <f t="shared" si="11"/>
        <v>77854.719410590973</v>
      </c>
      <c r="R54" s="45"/>
      <c r="S54" s="18"/>
    </row>
    <row r="55" spans="1:19" x14ac:dyDescent="0.3">
      <c r="A55" s="22">
        <f t="shared" si="3"/>
        <v>50041</v>
      </c>
      <c r="B55" s="49">
        <f>IFERROR(IF(B54+1&lt;=$C$14,B54+1,""),"")</f>
        <v>13</v>
      </c>
      <c r="C55" s="49"/>
      <c r="D55" s="65">
        <f>IF($B55="","",F54*C22)</f>
        <v>1099.5116277760003</v>
      </c>
      <c r="E55" s="65">
        <f t="shared" si="4"/>
        <v>366.41224995635207</v>
      </c>
      <c r="F55" s="59">
        <f t="shared" si="5"/>
        <v>4398.0465111040012</v>
      </c>
      <c r="G55" s="3"/>
      <c r="H55" s="14">
        <f t="shared" si="13"/>
        <v>1902.3626918438185</v>
      </c>
      <c r="I55" s="23">
        <f t="shared" si="6"/>
        <v>0.28515217736923593</v>
      </c>
      <c r="J55" s="14">
        <f t="shared" si="7"/>
        <v>23178.586439495226</v>
      </c>
      <c r="K55" s="14">
        <f t="shared" si="8"/>
        <v>1902.3626918438185</v>
      </c>
      <c r="L55" s="46">
        <f t="shared" si="9"/>
        <v>21276.223747651406</v>
      </c>
      <c r="M55" s="46">
        <f t="shared" si="10"/>
        <v>253058.50089030762</v>
      </c>
      <c r="N55" s="12">
        <f t="shared" si="14"/>
        <v>0.53032135064529462</v>
      </c>
      <c r="O55" s="46">
        <f t="shared" si="15"/>
        <v>10274.372162330154</v>
      </c>
      <c r="P55" s="46">
        <f t="shared" si="16"/>
        <v>166273.08367224206</v>
      </c>
      <c r="Q55" s="19">
        <f t="shared" si="11"/>
        <v>88129.091572921126</v>
      </c>
      <c r="R55" s="45"/>
      <c r="S55" s="18"/>
    </row>
    <row r="56" spans="1:19" x14ac:dyDescent="0.3">
      <c r="A56" s="22">
        <f t="shared" si="3"/>
        <v>50406</v>
      </c>
      <c r="B56" s="49">
        <f>IFERROR(IF(B55+1&lt;=$C$14,B55+1,""),"")</f>
        <v>14</v>
      </c>
      <c r="C56" s="49"/>
      <c r="D56" s="65">
        <f>IF($B56="","",F55*C22)</f>
        <v>879.60930222080026</v>
      </c>
      <c r="E56" s="65">
        <f t="shared" si="4"/>
        <v>293.1297999650817</v>
      </c>
      <c r="F56" s="59">
        <f t="shared" si="5"/>
        <v>3518.437208883201</v>
      </c>
      <c r="G56" s="3"/>
      <c r="H56" s="14">
        <f t="shared" si="13"/>
        <v>1940.409945680695</v>
      </c>
      <c r="I56" s="23">
        <f t="shared" si="6"/>
        <v>0.29370674269031299</v>
      </c>
      <c r="J56" s="14">
        <f t="shared" si="7"/>
        <v>23789.669215190122</v>
      </c>
      <c r="K56" s="14">
        <f t="shared" si="8"/>
        <v>1940.409945680695</v>
      </c>
      <c r="L56" s="46">
        <f t="shared" si="9"/>
        <v>21849.259269509428</v>
      </c>
      <c r="M56" s="46">
        <f t="shared" si="10"/>
        <v>274907.76015981706</v>
      </c>
      <c r="N56" s="12">
        <f t="shared" si="14"/>
        <v>0.50506795299551888</v>
      </c>
      <c r="O56" s="46">
        <f t="shared" si="15"/>
        <v>10055.321774482398</v>
      </c>
      <c r="P56" s="46">
        <f t="shared" si="16"/>
        <v>176328.40544672447</v>
      </c>
      <c r="Q56" s="19">
        <f t="shared" si="11"/>
        <v>98184.413347403519</v>
      </c>
      <c r="R56" s="45"/>
      <c r="S56" s="18"/>
    </row>
    <row r="57" spans="1:19" x14ac:dyDescent="0.3">
      <c r="A57" s="22">
        <f t="shared" si="3"/>
        <v>50771</v>
      </c>
      <c r="B57" s="49">
        <f t="shared" ref="B57:B86" si="17">IFERROR(IF(B56+1&lt;=$C$14,B56+1,""),"")</f>
        <v>15</v>
      </c>
      <c r="C57" s="49"/>
      <c r="D57" s="65">
        <f>IF($B57="","",F56*C22)</f>
        <v>703.6874417766403</v>
      </c>
      <c r="E57" s="65">
        <f t="shared" si="4"/>
        <v>234.50383997206538</v>
      </c>
      <c r="F57" s="59">
        <f t="shared" si="5"/>
        <v>2814.7497671065607</v>
      </c>
      <c r="G57" s="3"/>
      <c r="H57" s="14">
        <f t="shared" si="13"/>
        <v>1979.218144594309</v>
      </c>
      <c r="I57" s="23">
        <f t="shared" si="6"/>
        <v>0.30251794497102241</v>
      </c>
      <c r="J57" s="14">
        <f t="shared" si="7"/>
        <v>24435.939437653858</v>
      </c>
      <c r="K57" s="14">
        <f t="shared" si="8"/>
        <v>1979.218144594309</v>
      </c>
      <c r="L57" s="46">
        <f t="shared" si="9"/>
        <v>22456.721293059549</v>
      </c>
      <c r="M57" s="46">
        <f t="shared" si="10"/>
        <v>297364.48145287659</v>
      </c>
      <c r="N57" s="12">
        <f t="shared" si="14"/>
        <v>0.48101709809097021</v>
      </c>
      <c r="O57" s="46">
        <f t="shared" si="15"/>
        <v>9850.0291406234555</v>
      </c>
      <c r="P57" s="46">
        <f t="shared" si="16"/>
        <v>186178.43458734793</v>
      </c>
      <c r="Q57" s="19">
        <f t="shared" si="11"/>
        <v>108034.44248802698</v>
      </c>
      <c r="R57" s="45"/>
      <c r="S57" s="18"/>
    </row>
    <row r="58" spans="1:19" x14ac:dyDescent="0.3">
      <c r="A58" s="22">
        <f t="shared" si="3"/>
        <v>51136</v>
      </c>
      <c r="B58" s="49">
        <f t="shared" si="17"/>
        <v>16</v>
      </c>
      <c r="C58" s="49"/>
      <c r="D58" s="65">
        <f>IF($B58="","",F57*C22)</f>
        <v>562.94995342131222</v>
      </c>
      <c r="E58" s="65">
        <f t="shared" si="4"/>
        <v>187.60307197765229</v>
      </c>
      <c r="F58" s="59">
        <f t="shared" si="5"/>
        <v>2251.7998136852484</v>
      </c>
      <c r="G58" s="3"/>
      <c r="H58" s="14">
        <f t="shared" si="13"/>
        <v>2018.8025074861953</v>
      </c>
      <c r="I58" s="23">
        <f t="shared" si="6"/>
        <v>0.31159348332015308</v>
      </c>
      <c r="J58" s="14">
        <f t="shared" si="7"/>
        <v>25115.081737589899</v>
      </c>
      <c r="K58" s="14">
        <f t="shared" si="8"/>
        <v>2018.8025074861953</v>
      </c>
      <c r="L58" s="46">
        <f t="shared" si="9"/>
        <v>23096.279230103704</v>
      </c>
      <c r="M58" s="46">
        <f t="shared" si="10"/>
        <v>320460.7606829803</v>
      </c>
      <c r="N58" s="12">
        <f t="shared" si="14"/>
        <v>0.45811152199140021</v>
      </c>
      <c r="O58" s="46">
        <f t="shared" si="15"/>
        <v>9655.834941136618</v>
      </c>
      <c r="P58" s="46">
        <f t="shared" si="16"/>
        <v>195834.26952848455</v>
      </c>
      <c r="Q58" s="19">
        <f t="shared" si="11"/>
        <v>117690.2774291636</v>
      </c>
      <c r="R58" s="45"/>
      <c r="S58" s="18"/>
    </row>
    <row r="59" spans="1:19" x14ac:dyDescent="0.3">
      <c r="A59" s="22">
        <f t="shared" si="3"/>
        <v>51502</v>
      </c>
      <c r="B59" s="49">
        <f t="shared" si="17"/>
        <v>17</v>
      </c>
      <c r="C59" s="49"/>
      <c r="D59" s="65">
        <f>IF($B59="","",$F58*$C$22)</f>
        <v>450.35996273704973</v>
      </c>
      <c r="E59" s="65">
        <f t="shared" si="4"/>
        <v>150.0824575821218</v>
      </c>
      <c r="F59" s="59">
        <f t="shared" si="5"/>
        <v>1801.4398509481987</v>
      </c>
      <c r="G59" s="3"/>
      <c r="H59" s="14">
        <f t="shared" si="13"/>
        <v>2059.1785576359193</v>
      </c>
      <c r="I59" s="23">
        <f t="shared" si="6"/>
        <v>0.32094128781975767</v>
      </c>
      <c r="J59" s="14">
        <f t="shared" si="7"/>
        <v>25825.385483162736</v>
      </c>
      <c r="K59" s="14">
        <f t="shared" si="8"/>
        <v>2059.1785576359193</v>
      </c>
      <c r="L59" s="46">
        <f t="shared" si="9"/>
        <v>23766.206925526818</v>
      </c>
      <c r="M59" s="46">
        <f t="shared" si="10"/>
        <v>344226.96760850714</v>
      </c>
      <c r="N59" s="12">
        <f t="shared" si="14"/>
        <v>0.43629668761085727</v>
      </c>
      <c r="O59" s="46">
        <f t="shared" si="15"/>
        <v>9470.7045747857137</v>
      </c>
      <c r="P59" s="46">
        <f t="shared" si="16"/>
        <v>205304.97410327027</v>
      </c>
      <c r="Q59" s="19">
        <f t="shared" si="11"/>
        <v>127160.98200394932</v>
      </c>
      <c r="R59" s="45"/>
      <c r="S59" s="18"/>
    </row>
    <row r="60" spans="1:19" x14ac:dyDescent="0.3">
      <c r="A60" s="22">
        <f t="shared" si="3"/>
        <v>51867</v>
      </c>
      <c r="B60" s="49">
        <f t="shared" si="17"/>
        <v>18</v>
      </c>
      <c r="C60" s="49"/>
      <c r="D60" s="65">
        <f>IF($B60="","",$F59*$C$22)</f>
        <v>360.28797018963974</v>
      </c>
      <c r="E60" s="65">
        <f t="shared" si="4"/>
        <v>120.06596606569744</v>
      </c>
      <c r="F60" s="59">
        <f t="shared" si="5"/>
        <v>1441.1518807585589</v>
      </c>
      <c r="G60" s="3"/>
      <c r="H60" s="14">
        <f t="shared" si="13"/>
        <v>2100.3621287886376</v>
      </c>
      <c r="I60" s="23">
        <f t="shared" si="6"/>
        <v>0.33056952645435039</v>
      </c>
      <c r="J60" s="14">
        <f t="shared" si="7"/>
        <v>26565.628082413728</v>
      </c>
      <c r="K60" s="14">
        <f t="shared" si="8"/>
        <v>2100.3621287886376</v>
      </c>
      <c r="L60" s="46">
        <f t="shared" si="9"/>
        <v>24465.26595362509</v>
      </c>
      <c r="M60" s="46">
        <f t="shared" si="10"/>
        <v>368692.23356213223</v>
      </c>
      <c r="N60" s="12">
        <f t="shared" si="14"/>
        <v>0.41552065486748313</v>
      </c>
      <c r="O60" s="46">
        <f t="shared" si="15"/>
        <v>9293.0794833443215</v>
      </c>
      <c r="P60" s="46">
        <f t="shared" si="16"/>
        <v>214598.05358661461</v>
      </c>
      <c r="Q60" s="19">
        <f t="shared" si="11"/>
        <v>136454.06148729363</v>
      </c>
      <c r="R60" s="45"/>
      <c r="S60" s="18"/>
    </row>
    <row r="61" spans="1:19" x14ac:dyDescent="0.3">
      <c r="A61" s="22">
        <f t="shared" si="3"/>
        <v>52232</v>
      </c>
      <c r="B61" s="49">
        <f t="shared" si="17"/>
        <v>19</v>
      </c>
      <c r="C61" s="49"/>
      <c r="D61" s="65">
        <f>IF($B61="","",$F60*$C$22)</f>
        <v>288.23037615171182</v>
      </c>
      <c r="E61" s="65">
        <f t="shared" si="4"/>
        <v>96.052772852557965</v>
      </c>
      <c r="F61" s="59">
        <f t="shared" si="5"/>
        <v>1152.9215046068471</v>
      </c>
      <c r="G61" s="3"/>
      <c r="H61" s="14">
        <f t="shared" si="13"/>
        <v>2142.3693713644102</v>
      </c>
      <c r="I61" s="23">
        <f t="shared" si="6"/>
        <v>0.34048661224798094</v>
      </c>
      <c r="J61" s="14">
        <f t="shared" si="7"/>
        <v>27334.981752691034</v>
      </c>
      <c r="K61" s="14">
        <f t="shared" si="8"/>
        <v>2142.3693713644102</v>
      </c>
      <c r="L61" s="46">
        <f t="shared" si="9"/>
        <v>25192.612381326624</v>
      </c>
      <c r="M61" s="46">
        <f t="shared" si="10"/>
        <v>393884.84594345884</v>
      </c>
      <c r="N61" s="12">
        <f t="shared" si="14"/>
        <v>0.39573395701665059</v>
      </c>
      <c r="O61" s="46">
        <f t="shared" si="15"/>
        <v>9121.763876527737</v>
      </c>
      <c r="P61" s="46">
        <f t="shared" si="16"/>
        <v>223719.81746314233</v>
      </c>
      <c r="Q61" s="19">
        <f t="shared" si="11"/>
        <v>145575.82536382135</v>
      </c>
      <c r="R61" s="45"/>
      <c r="S61" s="18"/>
    </row>
    <row r="62" spans="1:19" x14ac:dyDescent="0.3">
      <c r="A62" s="22">
        <f t="shared" si="3"/>
        <v>52597</v>
      </c>
      <c r="B62" s="49">
        <f t="shared" si="17"/>
        <v>20</v>
      </c>
      <c r="C62" s="48"/>
      <c r="D62" s="65">
        <f>IF($B62="","",$F61*$C$22)</f>
        <v>230.58430092136942</v>
      </c>
      <c r="E62" s="65">
        <f t="shared" si="4"/>
        <v>76.84221828204636</v>
      </c>
      <c r="F62" s="59">
        <f t="shared" si="5"/>
        <v>922.33720368547768</v>
      </c>
      <c r="G62" s="3"/>
      <c r="H62" s="14">
        <f t="shared" si="13"/>
        <v>2185.2167587916983</v>
      </c>
      <c r="I62" s="23">
        <f t="shared" si="6"/>
        <v>0.35070121061542037</v>
      </c>
      <c r="J62" s="14">
        <f t="shared" si="7"/>
        <v>28132.939067515676</v>
      </c>
      <c r="K62" s="14">
        <f t="shared" si="8"/>
        <v>2185.2167587916983</v>
      </c>
      <c r="L62" s="46">
        <f t="shared" si="9"/>
        <v>25947.722308723976</v>
      </c>
      <c r="M62" s="46">
        <f t="shared" si="10"/>
        <v>419832.5682521828</v>
      </c>
      <c r="N62" s="12">
        <f t="shared" si="14"/>
        <v>0.37688948287300061</v>
      </c>
      <c r="O62" s="46">
        <f t="shared" si="15"/>
        <v>8955.8384284807835</v>
      </c>
      <c r="P62" s="46">
        <f t="shared" si="16"/>
        <v>232675.65589162312</v>
      </c>
      <c r="Q62" s="19">
        <f t="shared" si="11"/>
        <v>154531.66379230213</v>
      </c>
      <c r="R62" s="45"/>
      <c r="S62" s="18"/>
    </row>
    <row r="63" spans="1:19" x14ac:dyDescent="0.3">
      <c r="A63" s="22" t="str">
        <f t="shared" si="3"/>
        <v/>
      </c>
      <c r="B63" s="49" t="str">
        <f t="shared" si="17"/>
        <v/>
      </c>
      <c r="C63" s="49"/>
      <c r="D63" s="65" t="str">
        <f t="shared" ref="D63:D85" si="18">IF($B63="","",$F62*$C$22)</f>
        <v/>
      </c>
      <c r="E63" s="65" t="str">
        <f t="shared" si="4"/>
        <v/>
      </c>
      <c r="F63" s="59" t="str">
        <f t="shared" si="5"/>
        <v/>
      </c>
      <c r="G63" s="24"/>
      <c r="H63" s="14" t="str">
        <f t="shared" si="13"/>
        <v/>
      </c>
      <c r="I63" s="23" t="str">
        <f t="shared" si="6"/>
        <v/>
      </c>
      <c r="J63" s="14" t="str">
        <f t="shared" si="7"/>
        <v/>
      </c>
      <c r="K63" s="14" t="str">
        <f t="shared" si="8"/>
        <v/>
      </c>
      <c r="L63" s="46" t="str">
        <f t="shared" si="9"/>
        <v/>
      </c>
      <c r="M63" s="46" t="str">
        <f t="shared" si="10"/>
        <v/>
      </c>
      <c r="N63" s="12" t="str">
        <f t="shared" si="14"/>
        <v/>
      </c>
      <c r="O63" s="46" t="str">
        <f t="shared" si="15"/>
        <v/>
      </c>
      <c r="P63" s="46" t="str">
        <f t="shared" si="16"/>
        <v/>
      </c>
      <c r="Q63" s="19" t="str">
        <f t="shared" si="11"/>
        <v/>
      </c>
      <c r="R63" s="17"/>
      <c r="S63" s="18"/>
    </row>
    <row r="64" spans="1:19" x14ac:dyDescent="0.3">
      <c r="A64" s="22" t="str">
        <f t="shared" si="3"/>
        <v/>
      </c>
      <c r="B64" s="49" t="str">
        <f t="shared" si="17"/>
        <v/>
      </c>
      <c r="C64" s="49"/>
      <c r="D64" s="65" t="str">
        <f t="shared" si="18"/>
        <v/>
      </c>
      <c r="E64" s="65" t="str">
        <f t="shared" si="4"/>
        <v/>
      </c>
      <c r="F64" s="59" t="str">
        <f t="shared" si="5"/>
        <v/>
      </c>
      <c r="G64" s="3"/>
      <c r="H64" s="14" t="str">
        <f t="shared" si="13"/>
        <v/>
      </c>
      <c r="I64" s="23" t="str">
        <f t="shared" si="6"/>
        <v/>
      </c>
      <c r="J64" s="14" t="str">
        <f t="shared" si="7"/>
        <v/>
      </c>
      <c r="K64" s="14" t="str">
        <f t="shared" si="8"/>
        <v/>
      </c>
      <c r="L64" s="46" t="str">
        <f t="shared" si="9"/>
        <v/>
      </c>
      <c r="M64" s="46" t="str">
        <f t="shared" si="10"/>
        <v/>
      </c>
      <c r="N64" s="12" t="str">
        <f t="shared" si="14"/>
        <v/>
      </c>
      <c r="O64" s="46" t="str">
        <f t="shared" si="15"/>
        <v/>
      </c>
      <c r="P64" s="46" t="str">
        <f t="shared" si="16"/>
        <v/>
      </c>
      <c r="Q64" s="19" t="str">
        <f t="shared" si="11"/>
        <v/>
      </c>
    </row>
    <row r="65" spans="1:17" x14ac:dyDescent="0.3">
      <c r="A65" s="22" t="str">
        <f t="shared" si="3"/>
        <v/>
      </c>
      <c r="B65" s="49" t="str">
        <f t="shared" si="17"/>
        <v/>
      </c>
      <c r="C65" s="49"/>
      <c r="D65" s="65" t="str">
        <f t="shared" si="18"/>
        <v/>
      </c>
      <c r="E65" s="65" t="str">
        <f t="shared" si="4"/>
        <v/>
      </c>
      <c r="F65" s="59" t="str">
        <f t="shared" si="5"/>
        <v/>
      </c>
      <c r="G65" s="3"/>
      <c r="H65" s="14" t="str">
        <f t="shared" si="13"/>
        <v/>
      </c>
      <c r="I65" s="23" t="str">
        <f t="shared" si="6"/>
        <v/>
      </c>
      <c r="J65" s="14" t="str">
        <f t="shared" si="7"/>
        <v/>
      </c>
      <c r="K65" s="14" t="str">
        <f t="shared" si="8"/>
        <v/>
      </c>
      <c r="L65" s="46" t="str">
        <f t="shared" si="9"/>
        <v/>
      </c>
      <c r="M65" s="46" t="str">
        <f t="shared" si="10"/>
        <v/>
      </c>
      <c r="N65" s="12" t="str">
        <f t="shared" si="14"/>
        <v/>
      </c>
      <c r="O65" s="46" t="str">
        <f t="shared" si="15"/>
        <v/>
      </c>
      <c r="P65" s="46" t="str">
        <f t="shared" si="16"/>
        <v/>
      </c>
      <c r="Q65" s="19" t="str">
        <f t="shared" si="11"/>
        <v/>
      </c>
    </row>
    <row r="66" spans="1:17" x14ac:dyDescent="0.3">
      <c r="A66" s="22" t="str">
        <f t="shared" si="3"/>
        <v/>
      </c>
      <c r="B66" s="49" t="str">
        <f t="shared" si="17"/>
        <v/>
      </c>
      <c r="C66" s="49"/>
      <c r="D66" s="65" t="str">
        <f t="shared" si="18"/>
        <v/>
      </c>
      <c r="E66" s="65" t="str">
        <f t="shared" si="4"/>
        <v/>
      </c>
      <c r="F66" s="59" t="str">
        <f t="shared" si="5"/>
        <v/>
      </c>
      <c r="G66" s="3"/>
      <c r="H66" s="14" t="str">
        <f t="shared" si="13"/>
        <v/>
      </c>
      <c r="I66" s="23" t="str">
        <f t="shared" si="6"/>
        <v/>
      </c>
      <c r="J66" s="14" t="str">
        <f t="shared" si="7"/>
        <v/>
      </c>
      <c r="K66" s="14" t="str">
        <f t="shared" si="8"/>
        <v/>
      </c>
      <c r="L66" s="46" t="str">
        <f t="shared" si="9"/>
        <v/>
      </c>
      <c r="M66" s="46" t="str">
        <f t="shared" si="10"/>
        <v/>
      </c>
      <c r="N66" s="12" t="str">
        <f t="shared" si="14"/>
        <v/>
      </c>
      <c r="O66" s="46" t="str">
        <f t="shared" si="15"/>
        <v/>
      </c>
      <c r="P66" s="46" t="str">
        <f t="shared" si="16"/>
        <v/>
      </c>
      <c r="Q66" s="19" t="str">
        <f t="shared" si="11"/>
        <v/>
      </c>
    </row>
    <row r="67" spans="1:17" x14ac:dyDescent="0.3">
      <c r="A67" s="22" t="str">
        <f t="shared" si="3"/>
        <v/>
      </c>
      <c r="B67" s="49" t="str">
        <f t="shared" si="17"/>
        <v/>
      </c>
      <c r="C67" s="49"/>
      <c r="D67" s="65" t="str">
        <f t="shared" si="18"/>
        <v/>
      </c>
      <c r="E67" s="65" t="str">
        <f t="shared" si="4"/>
        <v/>
      </c>
      <c r="F67" s="59" t="str">
        <f t="shared" si="5"/>
        <v/>
      </c>
      <c r="G67" s="3"/>
      <c r="H67" s="14" t="str">
        <f t="shared" si="13"/>
        <v/>
      </c>
      <c r="I67" s="23" t="str">
        <f t="shared" si="6"/>
        <v/>
      </c>
      <c r="J67" s="14" t="str">
        <f t="shared" si="7"/>
        <v/>
      </c>
      <c r="K67" s="14" t="str">
        <f t="shared" si="8"/>
        <v/>
      </c>
      <c r="L67" s="46" t="str">
        <f t="shared" si="9"/>
        <v/>
      </c>
      <c r="M67" s="46" t="str">
        <f t="shared" si="10"/>
        <v/>
      </c>
      <c r="N67" s="12" t="str">
        <f t="shared" si="14"/>
        <v/>
      </c>
      <c r="O67" s="46" t="str">
        <f t="shared" si="15"/>
        <v/>
      </c>
      <c r="P67" s="46" t="str">
        <f t="shared" si="16"/>
        <v/>
      </c>
      <c r="Q67" s="19" t="str">
        <f t="shared" si="11"/>
        <v/>
      </c>
    </row>
    <row r="68" spans="1:17" x14ac:dyDescent="0.3">
      <c r="A68" s="22" t="str">
        <f t="shared" si="3"/>
        <v/>
      </c>
      <c r="B68" s="49" t="str">
        <f t="shared" si="17"/>
        <v/>
      </c>
      <c r="C68" s="49"/>
      <c r="D68" s="65" t="str">
        <f t="shared" si="18"/>
        <v/>
      </c>
      <c r="E68" s="65" t="str">
        <f t="shared" si="4"/>
        <v/>
      </c>
      <c r="F68" s="59" t="str">
        <f t="shared" si="5"/>
        <v/>
      </c>
      <c r="G68" s="3"/>
      <c r="H68" s="14" t="str">
        <f t="shared" si="13"/>
        <v/>
      </c>
      <c r="I68" s="23" t="str">
        <f t="shared" si="6"/>
        <v/>
      </c>
      <c r="J68" s="14" t="str">
        <f t="shared" si="7"/>
        <v/>
      </c>
      <c r="K68" s="14" t="str">
        <f t="shared" si="8"/>
        <v/>
      </c>
      <c r="L68" s="46" t="str">
        <f t="shared" si="9"/>
        <v/>
      </c>
      <c r="M68" s="46" t="str">
        <f t="shared" si="10"/>
        <v/>
      </c>
      <c r="N68" s="12" t="str">
        <f t="shared" si="14"/>
        <v/>
      </c>
      <c r="O68" s="46" t="str">
        <f t="shared" si="15"/>
        <v/>
      </c>
      <c r="P68" s="46" t="str">
        <f t="shared" si="16"/>
        <v/>
      </c>
      <c r="Q68" s="19" t="str">
        <f t="shared" si="11"/>
        <v/>
      </c>
    </row>
    <row r="69" spans="1:17" x14ac:dyDescent="0.3">
      <c r="A69" s="22" t="str">
        <f t="shared" si="3"/>
        <v/>
      </c>
      <c r="B69" s="49" t="str">
        <f t="shared" si="17"/>
        <v/>
      </c>
      <c r="C69" s="49"/>
      <c r="D69" s="65" t="str">
        <f t="shared" si="18"/>
        <v/>
      </c>
      <c r="E69" s="65" t="str">
        <f t="shared" si="4"/>
        <v/>
      </c>
      <c r="F69" s="59" t="str">
        <f t="shared" si="5"/>
        <v/>
      </c>
      <c r="G69" s="3"/>
      <c r="H69" s="14" t="str">
        <f t="shared" si="13"/>
        <v/>
      </c>
      <c r="I69" s="23" t="str">
        <f t="shared" si="6"/>
        <v/>
      </c>
      <c r="J69" s="14" t="str">
        <f t="shared" si="7"/>
        <v/>
      </c>
      <c r="K69" s="14" t="str">
        <f t="shared" si="8"/>
        <v/>
      </c>
      <c r="L69" s="46" t="str">
        <f t="shared" si="9"/>
        <v/>
      </c>
      <c r="M69" s="46" t="str">
        <f t="shared" si="10"/>
        <v/>
      </c>
      <c r="N69" s="12" t="str">
        <f t="shared" si="14"/>
        <v/>
      </c>
      <c r="O69" s="46" t="str">
        <f t="shared" si="15"/>
        <v/>
      </c>
      <c r="P69" s="46" t="str">
        <f t="shared" si="16"/>
        <v/>
      </c>
      <c r="Q69" s="19" t="str">
        <f t="shared" si="11"/>
        <v/>
      </c>
    </row>
    <row r="70" spans="1:17" x14ac:dyDescent="0.3">
      <c r="A70" s="22" t="str">
        <f t="shared" si="3"/>
        <v/>
      </c>
      <c r="B70" s="49" t="str">
        <f t="shared" si="17"/>
        <v/>
      </c>
      <c r="C70" s="49"/>
      <c r="D70" s="65" t="str">
        <f t="shared" si="18"/>
        <v/>
      </c>
      <c r="E70" s="65" t="str">
        <f t="shared" si="4"/>
        <v/>
      </c>
      <c r="F70" s="59" t="str">
        <f t="shared" si="5"/>
        <v/>
      </c>
      <c r="G70" s="3"/>
      <c r="H70" s="14" t="str">
        <f t="shared" si="13"/>
        <v/>
      </c>
      <c r="I70" s="23" t="str">
        <f t="shared" si="6"/>
        <v/>
      </c>
      <c r="J70" s="14" t="str">
        <f t="shared" si="7"/>
        <v/>
      </c>
      <c r="K70" s="14" t="str">
        <f t="shared" si="8"/>
        <v/>
      </c>
      <c r="L70" s="46" t="str">
        <f t="shared" si="9"/>
        <v/>
      </c>
      <c r="M70" s="46" t="str">
        <f t="shared" si="10"/>
        <v/>
      </c>
      <c r="N70" s="12" t="str">
        <f t="shared" si="14"/>
        <v/>
      </c>
      <c r="O70" s="46" t="str">
        <f t="shared" si="15"/>
        <v/>
      </c>
      <c r="P70" s="46" t="str">
        <f t="shared" si="16"/>
        <v/>
      </c>
      <c r="Q70" s="19" t="str">
        <f t="shared" si="11"/>
        <v/>
      </c>
    </row>
    <row r="71" spans="1:17" x14ac:dyDescent="0.3">
      <c r="A71" s="22" t="str">
        <f t="shared" si="3"/>
        <v/>
      </c>
      <c r="B71" s="49" t="str">
        <f t="shared" si="17"/>
        <v/>
      </c>
      <c r="C71" s="49"/>
      <c r="D71" s="65" t="str">
        <f t="shared" si="18"/>
        <v/>
      </c>
      <c r="E71" s="65" t="str">
        <f t="shared" si="4"/>
        <v/>
      </c>
      <c r="F71" s="59" t="str">
        <f t="shared" si="5"/>
        <v/>
      </c>
      <c r="G71" s="3"/>
      <c r="H71" s="14" t="str">
        <f t="shared" si="13"/>
        <v/>
      </c>
      <c r="I71" s="23" t="str">
        <f t="shared" si="6"/>
        <v/>
      </c>
      <c r="J71" s="14" t="str">
        <f t="shared" si="7"/>
        <v/>
      </c>
      <c r="K71" s="14" t="str">
        <f t="shared" si="8"/>
        <v/>
      </c>
      <c r="L71" s="46" t="str">
        <f t="shared" si="9"/>
        <v/>
      </c>
      <c r="M71" s="46" t="str">
        <f t="shared" si="10"/>
        <v/>
      </c>
      <c r="N71" s="12" t="str">
        <f t="shared" si="14"/>
        <v/>
      </c>
      <c r="O71" s="46" t="str">
        <f t="shared" si="15"/>
        <v/>
      </c>
      <c r="P71" s="46" t="str">
        <f t="shared" si="16"/>
        <v/>
      </c>
      <c r="Q71" s="19" t="str">
        <f t="shared" si="11"/>
        <v/>
      </c>
    </row>
    <row r="72" spans="1:17" x14ac:dyDescent="0.3">
      <c r="A72" s="22" t="str">
        <f t="shared" si="3"/>
        <v/>
      </c>
      <c r="B72" s="49" t="str">
        <f t="shared" si="17"/>
        <v/>
      </c>
      <c r="C72" s="49"/>
      <c r="D72" s="65" t="str">
        <f t="shared" si="18"/>
        <v/>
      </c>
      <c r="E72" s="65" t="str">
        <f t="shared" si="4"/>
        <v/>
      </c>
      <c r="F72" s="59" t="str">
        <f t="shared" si="5"/>
        <v/>
      </c>
      <c r="G72" s="3"/>
      <c r="H72" s="14" t="str">
        <f t="shared" si="13"/>
        <v/>
      </c>
      <c r="I72" s="23" t="str">
        <f t="shared" si="6"/>
        <v/>
      </c>
      <c r="J72" s="14" t="str">
        <f t="shared" si="7"/>
        <v/>
      </c>
      <c r="K72" s="14" t="str">
        <f t="shared" si="8"/>
        <v/>
      </c>
      <c r="L72" s="46" t="str">
        <f t="shared" si="9"/>
        <v/>
      </c>
      <c r="M72" s="46" t="str">
        <f t="shared" si="10"/>
        <v/>
      </c>
      <c r="N72" s="12" t="str">
        <f t="shared" si="14"/>
        <v/>
      </c>
      <c r="O72" s="46" t="str">
        <f t="shared" si="15"/>
        <v/>
      </c>
      <c r="P72" s="46" t="str">
        <f t="shared" si="16"/>
        <v/>
      </c>
      <c r="Q72" s="19" t="str">
        <f t="shared" si="11"/>
        <v/>
      </c>
    </row>
    <row r="73" spans="1:17" x14ac:dyDescent="0.3">
      <c r="A73" s="22" t="str">
        <f t="shared" si="3"/>
        <v/>
      </c>
      <c r="B73" s="49" t="str">
        <f t="shared" si="17"/>
        <v/>
      </c>
      <c r="C73" s="49"/>
      <c r="D73" s="65" t="str">
        <f t="shared" si="18"/>
        <v/>
      </c>
      <c r="E73" s="65" t="str">
        <f t="shared" si="4"/>
        <v/>
      </c>
      <c r="F73" s="59" t="str">
        <f t="shared" si="5"/>
        <v/>
      </c>
      <c r="G73" s="3"/>
      <c r="H73" s="14" t="str">
        <f t="shared" si="13"/>
        <v/>
      </c>
      <c r="I73" s="23" t="str">
        <f t="shared" si="6"/>
        <v/>
      </c>
      <c r="J73" s="14" t="str">
        <f t="shared" si="7"/>
        <v/>
      </c>
      <c r="K73" s="14" t="str">
        <f t="shared" si="8"/>
        <v/>
      </c>
      <c r="L73" s="46" t="str">
        <f t="shared" si="9"/>
        <v/>
      </c>
      <c r="M73" s="46" t="str">
        <f t="shared" si="10"/>
        <v/>
      </c>
      <c r="N73" s="12" t="str">
        <f t="shared" si="14"/>
        <v/>
      </c>
      <c r="O73" s="46" t="str">
        <f t="shared" si="15"/>
        <v/>
      </c>
      <c r="P73" s="46" t="str">
        <f t="shared" si="16"/>
        <v/>
      </c>
      <c r="Q73" s="19" t="str">
        <f t="shared" si="11"/>
        <v/>
      </c>
    </row>
    <row r="74" spans="1:17" x14ac:dyDescent="0.3">
      <c r="A74" s="22" t="str">
        <f t="shared" si="3"/>
        <v/>
      </c>
      <c r="B74" s="49" t="str">
        <f t="shared" si="17"/>
        <v/>
      </c>
      <c r="C74" s="49"/>
      <c r="D74" s="65" t="str">
        <f t="shared" si="18"/>
        <v/>
      </c>
      <c r="E74" s="65" t="str">
        <f t="shared" si="4"/>
        <v/>
      </c>
      <c r="F74" s="59" t="str">
        <f t="shared" si="5"/>
        <v/>
      </c>
      <c r="G74" s="3"/>
      <c r="H74" s="14" t="str">
        <f t="shared" si="13"/>
        <v/>
      </c>
      <c r="I74" s="23" t="str">
        <f t="shared" si="6"/>
        <v/>
      </c>
      <c r="J74" s="14" t="str">
        <f t="shared" si="7"/>
        <v/>
      </c>
      <c r="K74" s="14" t="str">
        <f t="shared" si="8"/>
        <v/>
      </c>
      <c r="L74" s="46" t="str">
        <f t="shared" si="9"/>
        <v/>
      </c>
      <c r="M74" s="46" t="str">
        <f t="shared" si="10"/>
        <v/>
      </c>
      <c r="N74" s="12" t="str">
        <f t="shared" si="14"/>
        <v/>
      </c>
      <c r="O74" s="46" t="str">
        <f t="shared" si="15"/>
        <v/>
      </c>
      <c r="P74" s="46" t="str">
        <f t="shared" si="16"/>
        <v/>
      </c>
      <c r="Q74" s="19" t="str">
        <f t="shared" si="11"/>
        <v/>
      </c>
    </row>
    <row r="75" spans="1:17" x14ac:dyDescent="0.3">
      <c r="A75" s="22" t="str">
        <f t="shared" si="3"/>
        <v/>
      </c>
      <c r="B75" s="49" t="str">
        <f t="shared" si="17"/>
        <v/>
      </c>
      <c r="C75" s="49"/>
      <c r="D75" s="65" t="str">
        <f t="shared" si="18"/>
        <v/>
      </c>
      <c r="E75" s="65" t="str">
        <f t="shared" si="4"/>
        <v/>
      </c>
      <c r="F75" s="59" t="str">
        <f t="shared" si="5"/>
        <v/>
      </c>
      <c r="G75" s="3"/>
      <c r="H75" s="14" t="str">
        <f t="shared" si="13"/>
        <v/>
      </c>
      <c r="I75" s="23" t="str">
        <f t="shared" si="6"/>
        <v/>
      </c>
      <c r="J75" s="14" t="str">
        <f t="shared" si="7"/>
        <v/>
      </c>
      <c r="K75" s="14" t="str">
        <f t="shared" si="8"/>
        <v/>
      </c>
      <c r="L75" s="46" t="str">
        <f t="shared" si="9"/>
        <v/>
      </c>
      <c r="M75" s="46" t="str">
        <f t="shared" si="10"/>
        <v/>
      </c>
      <c r="N75" s="12" t="str">
        <f t="shared" si="14"/>
        <v/>
      </c>
      <c r="O75" s="46" t="str">
        <f t="shared" si="15"/>
        <v/>
      </c>
      <c r="P75" s="46" t="str">
        <f t="shared" si="16"/>
        <v/>
      </c>
      <c r="Q75" s="19" t="str">
        <f t="shared" si="11"/>
        <v/>
      </c>
    </row>
    <row r="76" spans="1:17" x14ac:dyDescent="0.3">
      <c r="A76" s="22" t="str">
        <f t="shared" si="3"/>
        <v/>
      </c>
      <c r="B76" s="49" t="str">
        <f t="shared" si="17"/>
        <v/>
      </c>
      <c r="C76" s="49"/>
      <c r="D76" s="65" t="str">
        <f t="shared" si="18"/>
        <v/>
      </c>
      <c r="E76" s="65" t="str">
        <f t="shared" si="4"/>
        <v/>
      </c>
      <c r="F76" s="59" t="str">
        <f t="shared" si="5"/>
        <v/>
      </c>
      <c r="G76" s="3"/>
      <c r="H76" s="14" t="str">
        <f t="shared" si="13"/>
        <v/>
      </c>
      <c r="I76" s="23" t="str">
        <f t="shared" si="6"/>
        <v/>
      </c>
      <c r="J76" s="14" t="str">
        <f t="shared" si="7"/>
        <v/>
      </c>
      <c r="K76" s="14" t="str">
        <f t="shared" si="8"/>
        <v/>
      </c>
      <c r="L76" s="46" t="str">
        <f t="shared" si="9"/>
        <v/>
      </c>
      <c r="M76" s="46" t="str">
        <f t="shared" si="10"/>
        <v/>
      </c>
      <c r="N76" s="12" t="str">
        <f t="shared" si="14"/>
        <v/>
      </c>
      <c r="O76" s="46" t="str">
        <f t="shared" si="15"/>
        <v/>
      </c>
      <c r="P76" s="46" t="str">
        <f t="shared" si="16"/>
        <v/>
      </c>
      <c r="Q76" s="19" t="str">
        <f t="shared" si="11"/>
        <v/>
      </c>
    </row>
    <row r="77" spans="1:17" x14ac:dyDescent="0.3">
      <c r="A77" s="22" t="str">
        <f t="shared" si="3"/>
        <v/>
      </c>
      <c r="B77" s="49" t="str">
        <f t="shared" si="17"/>
        <v/>
      </c>
      <c r="C77" s="49"/>
      <c r="D77" s="65" t="str">
        <f t="shared" si="18"/>
        <v/>
      </c>
      <c r="E77" s="65" t="str">
        <f t="shared" si="4"/>
        <v/>
      </c>
      <c r="F77" s="59" t="str">
        <f t="shared" si="5"/>
        <v/>
      </c>
      <c r="G77" s="3"/>
      <c r="H77" s="14" t="str">
        <f t="shared" si="13"/>
        <v/>
      </c>
      <c r="I77" s="23" t="str">
        <f t="shared" si="6"/>
        <v/>
      </c>
      <c r="J77" s="14" t="str">
        <f t="shared" si="7"/>
        <v/>
      </c>
      <c r="K77" s="14" t="str">
        <f t="shared" si="8"/>
        <v/>
      </c>
      <c r="L77" s="46" t="str">
        <f t="shared" si="9"/>
        <v/>
      </c>
      <c r="M77" s="46" t="str">
        <f t="shared" si="10"/>
        <v/>
      </c>
      <c r="N77" s="12" t="str">
        <f t="shared" si="14"/>
        <v/>
      </c>
      <c r="O77" s="46" t="str">
        <f t="shared" si="15"/>
        <v/>
      </c>
      <c r="P77" s="46" t="str">
        <f t="shared" si="16"/>
        <v/>
      </c>
      <c r="Q77" s="19" t="str">
        <f t="shared" si="11"/>
        <v/>
      </c>
    </row>
    <row r="78" spans="1:17" x14ac:dyDescent="0.3">
      <c r="A78" s="22" t="str">
        <f t="shared" si="3"/>
        <v/>
      </c>
      <c r="B78" s="49" t="str">
        <f t="shared" si="17"/>
        <v/>
      </c>
      <c r="C78" s="49"/>
      <c r="D78" s="65" t="str">
        <f t="shared" si="18"/>
        <v/>
      </c>
      <c r="E78" s="65" t="str">
        <f t="shared" si="4"/>
        <v/>
      </c>
      <c r="F78" s="59" t="str">
        <f t="shared" si="5"/>
        <v/>
      </c>
      <c r="G78" s="3"/>
      <c r="H78" s="14" t="str">
        <f t="shared" si="13"/>
        <v/>
      </c>
      <c r="I78" s="23" t="str">
        <f t="shared" si="6"/>
        <v/>
      </c>
      <c r="J78" s="14" t="str">
        <f t="shared" si="7"/>
        <v/>
      </c>
      <c r="K78" s="14" t="str">
        <f t="shared" si="8"/>
        <v/>
      </c>
      <c r="L78" s="46" t="str">
        <f t="shared" si="9"/>
        <v/>
      </c>
      <c r="M78" s="46" t="str">
        <f t="shared" si="10"/>
        <v/>
      </c>
      <c r="N78" s="12" t="str">
        <f t="shared" si="14"/>
        <v/>
      </c>
      <c r="O78" s="46" t="str">
        <f t="shared" si="15"/>
        <v/>
      </c>
      <c r="P78" s="46" t="str">
        <f t="shared" si="16"/>
        <v/>
      </c>
      <c r="Q78" s="19" t="str">
        <f t="shared" si="11"/>
        <v/>
      </c>
    </row>
    <row r="79" spans="1:17" x14ac:dyDescent="0.3">
      <c r="A79" s="22" t="str">
        <f t="shared" si="3"/>
        <v/>
      </c>
      <c r="B79" s="49" t="str">
        <f t="shared" si="17"/>
        <v/>
      </c>
      <c r="C79" s="49"/>
      <c r="D79" s="65" t="str">
        <f t="shared" si="18"/>
        <v/>
      </c>
      <c r="E79" s="65" t="str">
        <f t="shared" si="4"/>
        <v/>
      </c>
      <c r="F79" s="59" t="str">
        <f t="shared" si="5"/>
        <v/>
      </c>
      <c r="G79" s="3"/>
      <c r="H79" s="14" t="str">
        <f t="shared" si="13"/>
        <v/>
      </c>
      <c r="I79" s="23" t="str">
        <f t="shared" si="6"/>
        <v/>
      </c>
      <c r="J79" s="14" t="str">
        <f t="shared" si="7"/>
        <v/>
      </c>
      <c r="K79" s="14" t="str">
        <f t="shared" si="8"/>
        <v/>
      </c>
      <c r="L79" s="46" t="str">
        <f t="shared" si="9"/>
        <v/>
      </c>
      <c r="M79" s="46" t="str">
        <f t="shared" si="10"/>
        <v/>
      </c>
      <c r="N79" s="12" t="str">
        <f t="shared" si="14"/>
        <v/>
      </c>
      <c r="O79" s="46" t="str">
        <f t="shared" si="15"/>
        <v/>
      </c>
      <c r="P79" s="46" t="str">
        <f t="shared" si="16"/>
        <v/>
      </c>
      <c r="Q79" s="19" t="str">
        <f t="shared" si="11"/>
        <v/>
      </c>
    </row>
    <row r="80" spans="1:17" x14ac:dyDescent="0.3">
      <c r="A80" s="22" t="str">
        <f t="shared" si="3"/>
        <v/>
      </c>
      <c r="B80" s="49" t="str">
        <f t="shared" si="17"/>
        <v/>
      </c>
      <c r="C80" s="49"/>
      <c r="D80" s="65" t="str">
        <f t="shared" si="18"/>
        <v/>
      </c>
      <c r="E80" s="65" t="str">
        <f t="shared" si="4"/>
        <v/>
      </c>
      <c r="F80" s="59" t="str">
        <f t="shared" si="5"/>
        <v/>
      </c>
      <c r="G80" s="3"/>
      <c r="H80" s="14" t="str">
        <f t="shared" si="13"/>
        <v/>
      </c>
      <c r="I80" s="23" t="str">
        <f t="shared" si="6"/>
        <v/>
      </c>
      <c r="J80" s="14" t="str">
        <f t="shared" si="7"/>
        <v/>
      </c>
      <c r="K80" s="14" t="str">
        <f t="shared" si="8"/>
        <v/>
      </c>
      <c r="L80" s="46" t="str">
        <f t="shared" si="9"/>
        <v/>
      </c>
      <c r="M80" s="46" t="str">
        <f t="shared" si="10"/>
        <v/>
      </c>
      <c r="N80" s="12" t="str">
        <f t="shared" si="14"/>
        <v/>
      </c>
      <c r="O80" s="46" t="str">
        <f t="shared" si="15"/>
        <v/>
      </c>
      <c r="P80" s="46" t="str">
        <f t="shared" si="16"/>
        <v/>
      </c>
      <c r="Q80" s="19" t="str">
        <f t="shared" si="11"/>
        <v/>
      </c>
    </row>
    <row r="81" spans="1:17" x14ac:dyDescent="0.3">
      <c r="A81" s="22" t="str">
        <f t="shared" si="3"/>
        <v/>
      </c>
      <c r="B81" s="49" t="str">
        <f t="shared" si="17"/>
        <v/>
      </c>
      <c r="C81" s="48"/>
      <c r="D81" s="65" t="str">
        <f t="shared" si="18"/>
        <v/>
      </c>
      <c r="E81" s="65" t="str">
        <f t="shared" si="4"/>
        <v/>
      </c>
      <c r="F81" s="59" t="str">
        <f t="shared" si="5"/>
        <v/>
      </c>
      <c r="G81" s="3"/>
      <c r="H81" s="14" t="str">
        <f t="shared" si="13"/>
        <v/>
      </c>
      <c r="I81" s="23" t="str">
        <f t="shared" si="6"/>
        <v/>
      </c>
      <c r="J81" s="14" t="str">
        <f t="shared" si="7"/>
        <v/>
      </c>
      <c r="K81" s="14" t="str">
        <f t="shared" si="8"/>
        <v/>
      </c>
      <c r="L81" s="46" t="str">
        <f t="shared" si="9"/>
        <v/>
      </c>
      <c r="M81" s="46" t="str">
        <f t="shared" si="10"/>
        <v/>
      </c>
      <c r="N81" s="12" t="str">
        <f t="shared" si="14"/>
        <v/>
      </c>
      <c r="O81" s="46" t="str">
        <f t="shared" si="15"/>
        <v/>
      </c>
      <c r="P81" s="46" t="str">
        <f t="shared" si="16"/>
        <v/>
      </c>
      <c r="Q81" s="19" t="str">
        <f t="shared" si="11"/>
        <v/>
      </c>
    </row>
    <row r="82" spans="1:17" x14ac:dyDescent="0.3">
      <c r="A82" s="22" t="str">
        <f t="shared" si="3"/>
        <v/>
      </c>
      <c r="B82" s="49" t="str">
        <f t="shared" si="17"/>
        <v/>
      </c>
      <c r="C82" s="49"/>
      <c r="D82" s="65" t="str">
        <f t="shared" si="18"/>
        <v/>
      </c>
      <c r="E82" s="65" t="str">
        <f t="shared" si="4"/>
        <v/>
      </c>
      <c r="F82" s="59" t="str">
        <f t="shared" si="5"/>
        <v/>
      </c>
      <c r="G82" s="3"/>
      <c r="H82" s="14" t="str">
        <f t="shared" si="13"/>
        <v/>
      </c>
      <c r="I82" s="23" t="str">
        <f t="shared" si="6"/>
        <v/>
      </c>
      <c r="J82" s="14" t="str">
        <f t="shared" si="7"/>
        <v/>
      </c>
      <c r="K82" s="14" t="str">
        <f t="shared" si="8"/>
        <v/>
      </c>
      <c r="L82" s="46" t="str">
        <f t="shared" si="9"/>
        <v/>
      </c>
      <c r="M82" s="46" t="str">
        <f t="shared" si="10"/>
        <v/>
      </c>
      <c r="N82" s="12" t="str">
        <f t="shared" si="14"/>
        <v/>
      </c>
      <c r="O82" s="46" t="str">
        <f t="shared" si="15"/>
        <v/>
      </c>
      <c r="P82" s="46" t="str">
        <f t="shared" si="16"/>
        <v/>
      </c>
      <c r="Q82" s="19" t="str">
        <f t="shared" si="11"/>
        <v/>
      </c>
    </row>
    <row r="83" spans="1:17" x14ac:dyDescent="0.3">
      <c r="A83" s="22" t="str">
        <f t="shared" si="3"/>
        <v/>
      </c>
      <c r="B83" s="49" t="str">
        <f t="shared" si="17"/>
        <v/>
      </c>
      <c r="C83" s="49"/>
      <c r="D83" s="65" t="str">
        <f t="shared" si="18"/>
        <v/>
      </c>
      <c r="E83" s="65" t="str">
        <f t="shared" si="4"/>
        <v/>
      </c>
      <c r="F83" s="59" t="str">
        <f t="shared" si="5"/>
        <v/>
      </c>
      <c r="G83" s="24"/>
      <c r="H83" s="14" t="str">
        <f t="shared" si="13"/>
        <v/>
      </c>
      <c r="I83" s="23" t="str">
        <f t="shared" si="6"/>
        <v/>
      </c>
      <c r="J83" s="14" t="str">
        <f t="shared" si="7"/>
        <v/>
      </c>
      <c r="K83" s="14" t="str">
        <f t="shared" si="8"/>
        <v/>
      </c>
      <c r="L83" s="46" t="str">
        <f t="shared" si="9"/>
        <v/>
      </c>
      <c r="M83" s="46" t="str">
        <f t="shared" si="10"/>
        <v/>
      </c>
      <c r="N83" s="12" t="str">
        <f t="shared" si="14"/>
        <v/>
      </c>
      <c r="O83" s="46" t="str">
        <f t="shared" si="15"/>
        <v/>
      </c>
      <c r="P83" s="46" t="str">
        <f t="shared" si="16"/>
        <v/>
      </c>
      <c r="Q83" s="19" t="str">
        <f>IF($B83="","",Q82+O83)</f>
        <v/>
      </c>
    </row>
    <row r="84" spans="1:17" x14ac:dyDescent="0.3">
      <c r="A84" s="22" t="str">
        <f t="shared" si="3"/>
        <v/>
      </c>
      <c r="B84" s="49" t="str">
        <f t="shared" si="17"/>
        <v/>
      </c>
      <c r="C84" s="49"/>
      <c r="D84" s="65" t="str">
        <f t="shared" si="18"/>
        <v/>
      </c>
      <c r="E84" s="65" t="str">
        <f t="shared" si="4"/>
        <v/>
      </c>
      <c r="F84" s="59" t="str">
        <f t="shared" si="5"/>
        <v/>
      </c>
      <c r="G84" s="3"/>
      <c r="H84" s="14" t="str">
        <f t="shared" si="13"/>
        <v/>
      </c>
      <c r="I84" s="23" t="str">
        <f t="shared" si="6"/>
        <v/>
      </c>
      <c r="J84" s="14" t="str">
        <f t="shared" si="7"/>
        <v/>
      </c>
      <c r="K84" s="14" t="str">
        <f t="shared" si="8"/>
        <v/>
      </c>
      <c r="L84" s="46" t="str">
        <f t="shared" si="9"/>
        <v/>
      </c>
      <c r="M84" s="46" t="str">
        <f t="shared" si="10"/>
        <v/>
      </c>
      <c r="N84" s="12" t="str">
        <f t="shared" si="14"/>
        <v/>
      </c>
      <c r="O84" s="46" t="str">
        <f t="shared" si="15"/>
        <v/>
      </c>
      <c r="P84" s="46" t="str">
        <f t="shared" si="16"/>
        <v/>
      </c>
      <c r="Q84" s="19" t="str">
        <f>IF($B84="","",Q83+O84)</f>
        <v/>
      </c>
    </row>
    <row r="85" spans="1:17" x14ac:dyDescent="0.3">
      <c r="A85" s="22" t="str">
        <f t="shared" si="3"/>
        <v/>
      </c>
      <c r="B85" s="49" t="str">
        <f t="shared" si="17"/>
        <v/>
      </c>
      <c r="C85" s="49"/>
      <c r="D85" s="65" t="str">
        <f t="shared" si="18"/>
        <v/>
      </c>
      <c r="E85" s="65" t="str">
        <f t="shared" si="4"/>
        <v/>
      </c>
      <c r="F85" s="59" t="str">
        <f t="shared" si="5"/>
        <v/>
      </c>
      <c r="G85" s="3"/>
      <c r="H85" s="14" t="str">
        <f t="shared" si="13"/>
        <v/>
      </c>
      <c r="I85" s="23" t="str">
        <f t="shared" si="6"/>
        <v/>
      </c>
      <c r="J85" s="14" t="str">
        <f t="shared" si="7"/>
        <v/>
      </c>
      <c r="K85" s="14" t="str">
        <f t="shared" si="8"/>
        <v/>
      </c>
      <c r="L85" s="46" t="str">
        <f t="shared" si="9"/>
        <v/>
      </c>
      <c r="M85" s="46" t="str">
        <f t="shared" si="10"/>
        <v/>
      </c>
      <c r="N85" s="12" t="str">
        <f t="shared" si="14"/>
        <v/>
      </c>
      <c r="O85" s="46" t="str">
        <f t="shared" si="15"/>
        <v/>
      </c>
      <c r="P85" s="46" t="str">
        <f t="shared" si="16"/>
        <v/>
      </c>
      <c r="Q85" s="19" t="str">
        <f t="shared" ref="Q85:Q93" si="19">IF($B85="","",Q84+O85)</f>
        <v/>
      </c>
    </row>
    <row r="86" spans="1:17" x14ac:dyDescent="0.3">
      <c r="A86" s="22" t="str">
        <f t="shared" si="3"/>
        <v/>
      </c>
      <c r="B86" s="49" t="str">
        <f t="shared" si="17"/>
        <v/>
      </c>
      <c r="C86" s="49"/>
      <c r="D86" s="65" t="str">
        <f>IF($B86="","",$F85*$C$22)</f>
        <v/>
      </c>
      <c r="E86" s="65" t="str">
        <f t="shared" si="4"/>
        <v/>
      </c>
      <c r="F86" s="59" t="str">
        <f t="shared" si="5"/>
        <v/>
      </c>
      <c r="G86" s="3"/>
      <c r="H86" s="14" t="str">
        <f t="shared" si="13"/>
        <v/>
      </c>
      <c r="I86" s="23" t="str">
        <f t="shared" si="6"/>
        <v/>
      </c>
      <c r="J86" s="14" t="str">
        <f t="shared" si="7"/>
        <v/>
      </c>
      <c r="K86" s="14" t="str">
        <f t="shared" si="8"/>
        <v/>
      </c>
      <c r="L86" s="46" t="str">
        <f t="shared" si="9"/>
        <v/>
      </c>
      <c r="M86" s="46" t="str">
        <f>IF($B86="","",$M85+$L86)</f>
        <v/>
      </c>
      <c r="N86" s="12" t="str">
        <f t="shared" si="14"/>
        <v/>
      </c>
      <c r="O86" s="46" t="str">
        <f>IF($B86="","",(L86-K86)*N86)</f>
        <v/>
      </c>
      <c r="P86" s="46" t="str">
        <f t="shared" si="16"/>
        <v/>
      </c>
      <c r="Q86" s="19" t="str">
        <f t="shared" si="19"/>
        <v/>
      </c>
    </row>
    <row r="87" spans="1:17" x14ac:dyDescent="0.3">
      <c r="A87" s="22" t="str">
        <f t="shared" si="3"/>
        <v/>
      </c>
      <c r="B87" s="49" t="str">
        <f>IFERROR(IF(B86+1&lt;=$C$14,B86+1,""),"")</f>
        <v/>
      </c>
      <c r="C87" s="49"/>
      <c r="D87" s="65" t="str">
        <f>IF($B87="","",$F86*$C$22)</f>
        <v/>
      </c>
      <c r="E87" s="65" t="str">
        <f t="shared" si="4"/>
        <v/>
      </c>
      <c r="F87" s="59" t="str">
        <f t="shared" si="5"/>
        <v/>
      </c>
      <c r="G87" s="3"/>
      <c r="H87" s="14" t="str">
        <f t="shared" si="13"/>
        <v/>
      </c>
      <c r="I87" s="23" t="str">
        <f t="shared" si="6"/>
        <v/>
      </c>
      <c r="J87" s="14" t="str">
        <f>IF($B87="","",$C$18*$I87+$E87)</f>
        <v/>
      </c>
      <c r="K87" s="14" t="str">
        <f t="shared" si="8"/>
        <v/>
      </c>
      <c r="L87" s="46" t="str">
        <f t="shared" si="9"/>
        <v/>
      </c>
      <c r="M87" s="46" t="str">
        <f>IF($B87="","",$M86+$L87)</f>
        <v/>
      </c>
      <c r="N87" s="12" t="str">
        <f t="shared" si="14"/>
        <v/>
      </c>
      <c r="O87" s="46" t="str">
        <f>IF($B87="","",(L87-K87)*N87)</f>
        <v/>
      </c>
      <c r="P87" s="46" t="str">
        <f t="shared" si="16"/>
        <v/>
      </c>
      <c r="Q87" s="19" t="str">
        <f t="shared" si="19"/>
        <v/>
      </c>
    </row>
    <row r="88" spans="1:17" x14ac:dyDescent="0.3">
      <c r="A88" s="22" t="str">
        <f>IF($B88="","",(DATE(YEAR(A87)+1,MONTH(1),DAY(1))))</f>
        <v/>
      </c>
      <c r="B88" s="49" t="str">
        <f>IFERROR(IF(B87+1&lt;=$C$14,B87+1,""),"")</f>
        <v/>
      </c>
      <c r="C88" s="49"/>
      <c r="D88" s="65" t="str">
        <f>IF($B88="","",$F87*$C$22)</f>
        <v/>
      </c>
      <c r="E88" s="65" t="str">
        <f t="shared" si="4"/>
        <v/>
      </c>
      <c r="F88" s="59" t="str">
        <f t="shared" si="5"/>
        <v/>
      </c>
      <c r="G88" s="24"/>
      <c r="H88" s="14" t="str">
        <f t="shared" si="13"/>
        <v/>
      </c>
      <c r="I88" s="23" t="str">
        <f t="shared" si="6"/>
        <v/>
      </c>
      <c r="J88" s="14" t="str">
        <f>IF($B88="","",$C$18*$I88+$E88)</f>
        <v/>
      </c>
      <c r="K88" s="14" t="str">
        <f t="shared" si="8"/>
        <v/>
      </c>
      <c r="L88" s="46" t="str">
        <f t="shared" si="9"/>
        <v/>
      </c>
      <c r="M88" s="46" t="str">
        <f t="shared" ref="M88:M93" si="20">IF($B88="","",$M87+$L88)</f>
        <v/>
      </c>
      <c r="N88" s="12" t="str">
        <f t="shared" si="14"/>
        <v/>
      </c>
      <c r="O88" s="46" t="str">
        <f>IF($B88="","",(L88-K88)*N88)</f>
        <v/>
      </c>
      <c r="P88" s="46" t="str">
        <f t="shared" si="16"/>
        <v/>
      </c>
      <c r="Q88" s="19" t="str">
        <f t="shared" si="19"/>
        <v/>
      </c>
    </row>
    <row r="89" spans="1:17" x14ac:dyDescent="0.3">
      <c r="A89" s="22" t="str">
        <f>IF($B89="","",(DATE(YEAR(A88)+1,MONTH(1),DAY(1))))</f>
        <v/>
      </c>
      <c r="B89" s="49" t="str">
        <f t="shared" ref="B89:B93" si="21">IFERROR(IF(B88+1&lt;=$C$14,B88+1,""),"")</f>
        <v/>
      </c>
      <c r="C89" s="49"/>
      <c r="D89" s="65" t="str">
        <f>IF($B89="","",$F88*$C$22)</f>
        <v/>
      </c>
      <c r="E89" s="65" t="str">
        <f>IF($B89="","",$D89*$C$25)</f>
        <v/>
      </c>
      <c r="F89" s="59" t="str">
        <f t="shared" si="5"/>
        <v/>
      </c>
      <c r="G89" s="3"/>
      <c r="H89" s="14" t="str">
        <f t="shared" si="13"/>
        <v/>
      </c>
      <c r="I89" s="23" t="str">
        <f>IF($B89="","",I88*(1+C$20))</f>
        <v/>
      </c>
      <c r="J89" s="14" t="str">
        <f t="shared" ref="J89:J93" si="22">IF($B89="","",$C$18*$I89+$E89)</f>
        <v/>
      </c>
      <c r="K89" s="14" t="str">
        <f t="shared" si="8"/>
        <v/>
      </c>
      <c r="L89" s="46" t="str">
        <f t="shared" si="9"/>
        <v/>
      </c>
      <c r="M89" s="46" t="str">
        <f t="shared" si="20"/>
        <v/>
      </c>
      <c r="N89" s="12" t="str">
        <f t="shared" si="14"/>
        <v/>
      </c>
      <c r="O89" s="46" t="str">
        <f t="shared" ref="O89:O93" si="23">IF($B89="","",(L89-K89)*N89)</f>
        <v/>
      </c>
      <c r="P89" s="46" t="str">
        <f t="shared" si="16"/>
        <v/>
      </c>
      <c r="Q89" s="19" t="str">
        <f t="shared" si="19"/>
        <v/>
      </c>
    </row>
    <row r="90" spans="1:17" x14ac:dyDescent="0.3">
      <c r="A90" s="22" t="str">
        <f t="shared" ref="A90:A93" si="24">IF($B90="","",(DATE(YEAR(A89)+1,MONTH(1),DAY(1))))</f>
        <v/>
      </c>
      <c r="B90" s="49" t="str">
        <f t="shared" si="21"/>
        <v/>
      </c>
      <c r="C90" s="49"/>
      <c r="D90" s="65" t="str">
        <f t="shared" ref="D90:D93" si="25">IF($B90="","",$F89*$C$22)</f>
        <v/>
      </c>
      <c r="E90" s="65" t="str">
        <f>IF($B90="","",$D90*$C$25)</f>
        <v/>
      </c>
      <c r="F90" s="59" t="str">
        <f t="shared" si="5"/>
        <v/>
      </c>
      <c r="G90" s="3"/>
      <c r="H90" s="14" t="str">
        <f>IF($B90="","",$H89*(1+$C$21))</f>
        <v/>
      </c>
      <c r="I90" s="23" t="str">
        <f>IF($B90="","",I89*(1+C$20))</f>
        <v/>
      </c>
      <c r="J90" s="14" t="str">
        <f t="shared" si="22"/>
        <v/>
      </c>
      <c r="K90" s="14" t="str">
        <f t="shared" si="8"/>
        <v/>
      </c>
      <c r="L90" s="46" t="str">
        <f t="shared" si="9"/>
        <v/>
      </c>
      <c r="M90" s="46" t="str">
        <f t="shared" si="20"/>
        <v/>
      </c>
      <c r="N90" s="12" t="str">
        <f t="shared" si="14"/>
        <v/>
      </c>
      <c r="O90" s="46" t="str">
        <f t="shared" si="23"/>
        <v/>
      </c>
      <c r="P90" s="46" t="str">
        <f t="shared" si="16"/>
        <v/>
      </c>
      <c r="Q90" s="19" t="str">
        <f t="shared" si="19"/>
        <v/>
      </c>
    </row>
    <row r="91" spans="1:17" x14ac:dyDescent="0.3">
      <c r="A91" s="22" t="str">
        <f t="shared" si="24"/>
        <v/>
      </c>
      <c r="B91" s="49" t="str">
        <f t="shared" si="21"/>
        <v/>
      </c>
      <c r="C91" s="49"/>
      <c r="D91" s="65" t="str">
        <f t="shared" si="25"/>
        <v/>
      </c>
      <c r="E91" s="65" t="str">
        <f t="shared" ref="E91:E93" si="26">IF($B91="","",$D91*$C$25)</f>
        <v/>
      </c>
      <c r="F91" s="59" t="str">
        <f t="shared" si="5"/>
        <v/>
      </c>
      <c r="G91" s="3"/>
      <c r="H91" s="14" t="str">
        <f>IF($B91="","",$H90*(1+$C$21))</f>
        <v/>
      </c>
      <c r="I91" s="23" t="str">
        <f t="shared" ref="I91:I93" si="27">IF($B91="","",I90*(1+C$20))</f>
        <v/>
      </c>
      <c r="J91" s="14" t="str">
        <f t="shared" si="22"/>
        <v/>
      </c>
      <c r="K91" s="14" t="str">
        <f>IF($B91="","",H91)</f>
        <v/>
      </c>
      <c r="L91" s="46" t="str">
        <f>IF($B91="","",J91-H91)</f>
        <v/>
      </c>
      <c r="M91" s="46" t="str">
        <f t="shared" si="20"/>
        <v/>
      </c>
      <c r="N91" s="12" t="str">
        <f t="shared" si="14"/>
        <v/>
      </c>
      <c r="O91" s="46" t="str">
        <f t="shared" si="23"/>
        <v/>
      </c>
      <c r="P91" s="46" t="str">
        <f t="shared" si="16"/>
        <v/>
      </c>
      <c r="Q91" s="19" t="str">
        <f t="shared" si="19"/>
        <v/>
      </c>
    </row>
    <row r="92" spans="1:17" x14ac:dyDescent="0.3">
      <c r="A92" s="22" t="str">
        <f t="shared" si="24"/>
        <v/>
      </c>
      <c r="B92" s="49" t="str">
        <f t="shared" si="21"/>
        <v/>
      </c>
      <c r="C92" s="49"/>
      <c r="D92" s="65" t="str">
        <f t="shared" si="25"/>
        <v/>
      </c>
      <c r="E92" s="65" t="str">
        <f t="shared" si="26"/>
        <v/>
      </c>
      <c r="F92" s="59" t="str">
        <f>IF($B92="","",$F91-$D92)</f>
        <v/>
      </c>
      <c r="G92" s="3"/>
      <c r="H92" s="14" t="str">
        <f>IF($B92="","",$H91*(1+$C$21))</f>
        <v/>
      </c>
      <c r="I92" s="23" t="str">
        <f t="shared" si="27"/>
        <v/>
      </c>
      <c r="J92" s="14" t="str">
        <f t="shared" si="22"/>
        <v/>
      </c>
      <c r="K92" s="14" t="str">
        <f>IF($B92="","",H92)</f>
        <v/>
      </c>
      <c r="L92" s="46" t="str">
        <f>IF($B92="","",J92-H92)</f>
        <v/>
      </c>
      <c r="M92" s="46" t="str">
        <f t="shared" si="20"/>
        <v/>
      </c>
      <c r="N92" s="12" t="str">
        <f t="shared" si="14"/>
        <v/>
      </c>
      <c r="O92" s="46" t="str">
        <f t="shared" si="23"/>
        <v/>
      </c>
      <c r="P92" s="46" t="str">
        <f>IF($B92="","",P91+O92)</f>
        <v/>
      </c>
      <c r="Q92" s="19" t="str">
        <f t="shared" si="19"/>
        <v/>
      </c>
    </row>
    <row r="93" spans="1:17" x14ac:dyDescent="0.3">
      <c r="A93" s="22" t="str">
        <f t="shared" si="24"/>
        <v/>
      </c>
      <c r="B93" s="49" t="str">
        <f t="shared" si="21"/>
        <v/>
      </c>
      <c r="C93" s="49"/>
      <c r="D93" s="65" t="str">
        <f t="shared" si="25"/>
        <v/>
      </c>
      <c r="E93" s="65" t="str">
        <f t="shared" si="26"/>
        <v/>
      </c>
      <c r="F93" s="59" t="str">
        <f>IF($B93="","",$F92-$D93)</f>
        <v/>
      </c>
      <c r="G93" s="3"/>
      <c r="H93" s="14" t="str">
        <f t="shared" ref="H93" si="28">IF($B93="","",$H92*(1+$C$21))</f>
        <v/>
      </c>
      <c r="I93" s="23" t="str">
        <f t="shared" si="27"/>
        <v/>
      </c>
      <c r="J93" s="14" t="str">
        <f t="shared" si="22"/>
        <v/>
      </c>
      <c r="K93" s="14" t="str">
        <f t="shared" ref="K93" si="29">IF($B93="","",H93)</f>
        <v/>
      </c>
      <c r="L93" s="46" t="str">
        <f t="shared" ref="L93" si="30">IF($B93="","",J93-H93)</f>
        <v/>
      </c>
      <c r="M93" s="46" t="str">
        <f t="shared" si="20"/>
        <v/>
      </c>
      <c r="N93" s="12" t="str">
        <f t="shared" si="14"/>
        <v/>
      </c>
      <c r="O93" s="46" t="str">
        <f t="shared" si="23"/>
        <v/>
      </c>
      <c r="P93" s="46" t="str">
        <f>IF($B93="","",P92+O93)</f>
        <v/>
      </c>
      <c r="Q93" s="19" t="str">
        <f t="shared" si="19"/>
        <v/>
      </c>
    </row>
  </sheetData>
  <mergeCells count="34">
    <mergeCell ref="G31:J31"/>
    <mergeCell ref="A42:C42"/>
    <mergeCell ref="A21:B21"/>
    <mergeCell ref="A23:B23"/>
    <mergeCell ref="A24:B24"/>
    <mergeCell ref="A25:B25"/>
    <mergeCell ref="A31:C31"/>
    <mergeCell ref="A35:Q35"/>
    <mergeCell ref="A30:Q30"/>
    <mergeCell ref="A20:B20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6:B6"/>
    <mergeCell ref="F6:G6"/>
    <mergeCell ref="A7:B7"/>
    <mergeCell ref="F7:G7"/>
    <mergeCell ref="A8:B8"/>
    <mergeCell ref="C8:D8"/>
    <mergeCell ref="F8:G8"/>
    <mergeCell ref="F5:G5"/>
    <mergeCell ref="A1:D1"/>
    <mergeCell ref="C2:D2"/>
    <mergeCell ref="A3:B3"/>
    <mergeCell ref="A4:B4"/>
    <mergeCell ref="A5:B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Kredit + lineare Abschreibung</vt:lpstr>
      <vt:lpstr>Kredit + degressive Abschreibun</vt:lpstr>
      <vt:lpstr>Eigenkap. + lin. Abschr.</vt:lpstr>
      <vt:lpstr>Eigenkapital + degr. Abschr.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TU-Pseudonym 17002898735676338157452467132</dc:creator>
  <cp:lastModifiedBy>Laura Drissen</cp:lastModifiedBy>
  <cp:lastPrinted>2024-11-26T10:00:06Z</cp:lastPrinted>
  <dcterms:created xsi:type="dcterms:W3CDTF">2024-10-08T08:48:42Z</dcterms:created>
  <dcterms:modified xsi:type="dcterms:W3CDTF">2025-02-07T15:30:35Z</dcterms:modified>
</cp:coreProperties>
</file>